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435" tabRatio="1000" activeTab="4"/>
  </bookViews>
  <sheets>
    <sheet name="K18 CNKT HÓA (HK2-2021)" sheetId="4" r:id="rId1"/>
    <sheet name="K19, 20 CNKT HÓA (HK1_2021)" sheetId="5" r:id="rId2"/>
    <sheet name="CLC HÓA (HK1-2021)" sheetId="6" r:id="rId3"/>
    <sheet name="K20 HÓA VP (HK1-2021)" sheetId="7" r:id="rId4"/>
    <sheet name="K17, 18, 19 HÓA VP (HK2-2021)" sheetId="8" r:id="rId5"/>
  </sheets>
  <definedNames>
    <definedName name="_xlnm._FilterDatabase" localSheetId="1" hidden="1">'K19, 20 CNKT HÓA (HK1_2021)'!$A$8:$N$56</definedName>
    <definedName name="_xlnm._FilterDatabase" localSheetId="3" hidden="1">'K20 HÓA VP (HK1-2021)'!$A$8:$N$15</definedName>
  </definedNames>
  <calcPr calcId="152511"/>
  <customWorkbookViews>
    <customWorkbookView name="Filter 1" guid="{DA3DD199-1804-438D-A927-1B0F7C8952DA}" maximized="1" windowWidth="0" windowHeight="0" activeSheetId="0"/>
  </customWorkbookViews>
</workbook>
</file>

<file path=xl/calcChain.xml><?xml version="1.0" encoding="utf-8"?>
<calcChain xmlns="http://schemas.openxmlformats.org/spreadsheetml/2006/main">
  <c r="N10" i="8" l="1"/>
  <c r="M23" i="8"/>
  <c r="L11" i="6"/>
  <c r="L23" i="4"/>
  <c r="M9" i="6"/>
  <c r="M26" i="4"/>
  <c r="N20" i="6"/>
  <c r="N20" i="4"/>
  <c r="M16" i="6"/>
  <c r="M24" i="4"/>
  <c r="M10" i="8"/>
  <c r="N22" i="6"/>
  <c r="N10" i="4"/>
  <c r="N16" i="8"/>
  <c r="M15" i="6"/>
  <c r="L18" i="4"/>
  <c r="L19" i="8"/>
  <c r="N11" i="4"/>
  <c r="M13" i="8"/>
  <c r="N15" i="8"/>
  <c r="M16" i="4"/>
  <c r="L14" i="8"/>
  <c r="N27" i="4"/>
  <c r="M20" i="6"/>
  <c r="L20" i="4"/>
  <c r="L12" i="8"/>
  <c r="M25" i="6"/>
  <c r="N19" i="6"/>
  <c r="L17" i="4"/>
  <c r="M20" i="8"/>
  <c r="L29" i="6"/>
  <c r="M20" i="4"/>
  <c r="L19" i="4"/>
  <c r="N9" i="8"/>
  <c r="L15" i="8"/>
  <c r="N14" i="8"/>
  <c r="M19" i="6"/>
  <c r="M22" i="4"/>
  <c r="L18" i="8"/>
  <c r="N23" i="6"/>
  <c r="N21" i="4"/>
  <c r="M19" i="8"/>
  <c r="L12" i="6"/>
  <c r="L15" i="4"/>
  <c r="L13" i="6"/>
  <c r="L21" i="8"/>
  <c r="N9" i="6"/>
  <c r="N26" i="4"/>
  <c r="L24" i="6"/>
  <c r="L25" i="4"/>
  <c r="M13" i="6"/>
  <c r="M13" i="4"/>
  <c r="M24" i="6"/>
  <c r="N13" i="6"/>
  <c r="L27" i="6"/>
  <c r="N28" i="6"/>
  <c r="M12" i="4"/>
  <c r="L11" i="8"/>
  <c r="N16" i="4"/>
  <c r="M14" i="8"/>
  <c r="L25" i="6"/>
  <c r="N18" i="4"/>
  <c r="M29" i="6"/>
  <c r="M9" i="4"/>
  <c r="N14" i="4"/>
  <c r="M30" i="6"/>
  <c r="N20" i="8"/>
  <c r="L22" i="6"/>
  <c r="M11" i="6"/>
  <c r="N24" i="4"/>
  <c r="N21" i="6"/>
  <c r="M9" i="8"/>
  <c r="N27" i="6"/>
  <c r="L16" i="6"/>
  <c r="L10" i="8"/>
  <c r="M22" i="6"/>
  <c r="M11" i="8"/>
  <c r="N12" i="8"/>
  <c r="L13" i="8"/>
  <c r="M15" i="8"/>
  <c r="L16" i="4"/>
  <c r="N14" i="6"/>
  <c r="M25" i="4"/>
  <c r="N13" i="4"/>
  <c r="L9" i="4"/>
  <c r="N18" i="6"/>
  <c r="L19" i="6"/>
  <c r="M21" i="6"/>
  <c r="N15" i="4"/>
  <c r="L22" i="4"/>
  <c r="L9" i="6"/>
  <c r="M17" i="6"/>
  <c r="L30" i="6"/>
  <c r="M17" i="8"/>
  <c r="M27" i="4"/>
  <c r="L21" i="4"/>
  <c r="M14" i="4"/>
  <c r="N21" i="8"/>
  <c r="L14" i="4"/>
  <c r="N17" i="4"/>
  <c r="N19" i="4"/>
  <c r="L16" i="8"/>
  <c r="M12" i="8"/>
  <c r="N11" i="8"/>
  <c r="L26" i="6"/>
  <c r="M18" i="8"/>
  <c r="L27" i="4"/>
  <c r="N19" i="8"/>
  <c r="M15" i="4"/>
  <c r="L22" i="8"/>
  <c r="N23" i="4"/>
  <c r="L21" i="6"/>
  <c r="M18" i="6"/>
  <c r="N17" i="6"/>
  <c r="N23" i="8"/>
  <c r="L20" i="6"/>
  <c r="M27" i="6"/>
  <c r="M10" i="6"/>
  <c r="M18" i="4"/>
  <c r="M16" i="8"/>
  <c r="N10" i="6"/>
  <c r="M23" i="6"/>
  <c r="N13" i="8"/>
  <c r="M11" i="4"/>
  <c r="L11" i="4"/>
  <c r="N30" i="6"/>
  <c r="N18" i="8"/>
  <c r="L23" i="6"/>
  <c r="M12" i="6"/>
  <c r="N11" i="6"/>
  <c r="N9" i="4"/>
  <c r="L24" i="4"/>
  <c r="N25" i="6"/>
  <c r="M10" i="4"/>
  <c r="M28" i="6"/>
  <c r="L12" i="4"/>
  <c r="N26" i="6"/>
  <c r="L18" i="6"/>
  <c r="M23" i="4"/>
  <c r="M21" i="8"/>
  <c r="L20" i="8"/>
  <c r="M22" i="8"/>
  <c r="M21" i="4"/>
  <c r="L10" i="4"/>
  <c r="L15" i="6"/>
  <c r="N25" i="4"/>
  <c r="N15" i="6"/>
  <c r="L26" i="4"/>
  <c r="N29" i="6"/>
  <c r="M19" i="4"/>
  <c r="L28" i="6"/>
  <c r="M26" i="6"/>
  <c r="L13" i="4"/>
  <c r="L17" i="6"/>
  <c r="L17" i="8"/>
  <c r="N17" i="8"/>
  <c r="N16" i="6"/>
  <c r="L14" i="6"/>
  <c r="N24" i="6"/>
  <c r="L23" i="8"/>
  <c r="N12" i="6"/>
  <c r="N22" i="8"/>
  <c r="N12" i="4"/>
  <c r="M14" i="6"/>
  <c r="L9" i="8"/>
  <c r="N22" i="4"/>
  <c r="M17" i="4"/>
  <c r="L10" i="6"/>
</calcChain>
</file>

<file path=xl/sharedStrings.xml><?xml version="1.0" encoding="utf-8"?>
<sst xmlns="http://schemas.openxmlformats.org/spreadsheetml/2006/main" count="904" uniqueCount="424">
  <si>
    <t>LOẠI HB</t>
  </si>
  <si>
    <t>SỐ TIỀN/THÁNG</t>
  </si>
  <si>
    <t>SỐ THÁNG</t>
  </si>
  <si>
    <t>TỐNG CỘNG</t>
  </si>
  <si>
    <t>CMND</t>
  </si>
  <si>
    <t>STK</t>
  </si>
  <si>
    <t>20147093</t>
  </si>
  <si>
    <t>Lê Minh</t>
  </si>
  <si>
    <t>Tâm</t>
  </si>
  <si>
    <t>Xuất sắc</t>
  </si>
  <si>
    <t>20147124</t>
  </si>
  <si>
    <t>Nguyễn Hữu</t>
  </si>
  <si>
    <t>Thông</t>
  </si>
  <si>
    <t>Minh</t>
  </si>
  <si>
    <t>20147053</t>
  </si>
  <si>
    <t>Nguyễn Cao Thúy</t>
  </si>
  <si>
    <t>Hà</t>
  </si>
  <si>
    <t>Lộc</t>
  </si>
  <si>
    <t>20247157</t>
  </si>
  <si>
    <t>Võ Phan Thị Tố</t>
  </si>
  <si>
    <t>Quyên</t>
  </si>
  <si>
    <t>Anh</t>
  </si>
  <si>
    <t>Tốt</t>
  </si>
  <si>
    <t>Giỏi</t>
  </si>
  <si>
    <t>Nguyễn Hoàng</t>
  </si>
  <si>
    <t>Phúc</t>
  </si>
  <si>
    <t>20247201</t>
  </si>
  <si>
    <t>Trần Thanh</t>
  </si>
  <si>
    <t>Vy</t>
  </si>
  <si>
    <t>19146032</t>
  </si>
  <si>
    <t>Tân Hoàng</t>
  </si>
  <si>
    <t>Uy</t>
  </si>
  <si>
    <t>19146069</t>
  </si>
  <si>
    <t>Dương Đăng</t>
  </si>
  <si>
    <t>Khôi</t>
  </si>
  <si>
    <t>Trang</t>
  </si>
  <si>
    <t>Nhi</t>
  </si>
  <si>
    <t>Ngọc</t>
  </si>
  <si>
    <t>Thư</t>
  </si>
  <si>
    <t>20247106</t>
  </si>
  <si>
    <t>Nguyễn Thị Trúc</t>
  </si>
  <si>
    <t>Linh</t>
  </si>
  <si>
    <t>20247168</t>
  </si>
  <si>
    <t>Đặng Ngọc</t>
  </si>
  <si>
    <t>Thi</t>
  </si>
  <si>
    <t>19146039</t>
  </si>
  <si>
    <t>Danh</t>
  </si>
  <si>
    <t>20147108</t>
  </si>
  <si>
    <t>Huỳnh Thị Thanh</t>
  </si>
  <si>
    <t>Tuyền</t>
  </si>
  <si>
    <t>Thịnh</t>
  </si>
  <si>
    <t>Khang</t>
  </si>
  <si>
    <t>20247155</t>
  </si>
  <si>
    <t>Võ Minh</t>
  </si>
  <si>
    <t>Quân</t>
  </si>
  <si>
    <t>20247161</t>
  </si>
  <si>
    <t>Bùi Huỳnh Phước</t>
  </si>
  <si>
    <t>Sang</t>
  </si>
  <si>
    <t>Trân</t>
  </si>
  <si>
    <t>19147022</t>
  </si>
  <si>
    <t>Trần Nguyễn Yến</t>
  </si>
  <si>
    <t>Duyên</t>
  </si>
  <si>
    <t>Hạnh</t>
  </si>
  <si>
    <t>20147090</t>
  </si>
  <si>
    <t>Nguyễn Duy</t>
  </si>
  <si>
    <t>Quang</t>
  </si>
  <si>
    <t>Phú</t>
  </si>
  <si>
    <t>20247074</t>
  </si>
  <si>
    <t>Nguyễn Tiến</t>
  </si>
  <si>
    <t>Đạt</t>
  </si>
  <si>
    <t>Hiền</t>
  </si>
  <si>
    <t>Nguyễn Tấn</t>
  </si>
  <si>
    <t>Huy</t>
  </si>
  <si>
    <t>19146005</t>
  </si>
  <si>
    <t>Nguyễn Thị Thu</t>
  </si>
  <si>
    <t>Nghĩa</t>
  </si>
  <si>
    <t>Lê Thị Bích</t>
  </si>
  <si>
    <t>20147103</t>
  </si>
  <si>
    <t>Phan Thị Thanh</t>
  </si>
  <si>
    <t>Trà</t>
  </si>
  <si>
    <t>19247109</t>
  </si>
  <si>
    <t>Hứa Gia Thiện</t>
  </si>
  <si>
    <t>Chí</t>
  </si>
  <si>
    <t>Nguyễn Minh</t>
  </si>
  <si>
    <t>19146013</t>
  </si>
  <si>
    <t>Nguyễn Thiên Thuỳ</t>
  </si>
  <si>
    <t>20247139</t>
  </si>
  <si>
    <t>Lâm Đinh Gia</t>
  </si>
  <si>
    <t>20247174</t>
  </si>
  <si>
    <t>Trần Ngọc Anh</t>
  </si>
  <si>
    <t>19146004</t>
  </si>
  <si>
    <t>Nguyễn Thị Minh</t>
  </si>
  <si>
    <t>Tài</t>
  </si>
  <si>
    <t>18247026</t>
  </si>
  <si>
    <t>Trần Quốc</t>
  </si>
  <si>
    <t>Thắng</t>
  </si>
  <si>
    <t>Long</t>
  </si>
  <si>
    <t>Nam</t>
  </si>
  <si>
    <t>Nhật</t>
  </si>
  <si>
    <t>20247141</t>
  </si>
  <si>
    <t>Nguyễn Hạnh</t>
  </si>
  <si>
    <t>19147011</t>
  </si>
  <si>
    <t>Đinh Thiện</t>
  </si>
  <si>
    <t>Nguyên</t>
  </si>
  <si>
    <t>20247026</t>
  </si>
  <si>
    <t>Nguyễn Diệu</t>
  </si>
  <si>
    <t>18247112</t>
  </si>
  <si>
    <t>Dư Ngọc Thảo</t>
  </si>
  <si>
    <t>Dương</t>
  </si>
  <si>
    <t>19247077</t>
  </si>
  <si>
    <t>Bùi Ngọc</t>
  </si>
  <si>
    <t>20247079</t>
  </si>
  <si>
    <t>Mai Quốc</t>
  </si>
  <si>
    <t>Duy</t>
  </si>
  <si>
    <t>20247123</t>
  </si>
  <si>
    <t>Trần Phương</t>
  </si>
  <si>
    <t>Nghi</t>
  </si>
  <si>
    <t>20247135</t>
  </si>
  <si>
    <t>Phát</t>
  </si>
  <si>
    <t>20247203</t>
  </si>
  <si>
    <t>Hứa Kim</t>
  </si>
  <si>
    <t>Yến</t>
  </si>
  <si>
    <t>18146058</t>
  </si>
  <si>
    <t>Nguyễn Xuân Thị Cát</t>
  </si>
  <si>
    <t>Tường</t>
  </si>
  <si>
    <t>18146065</t>
  </si>
  <si>
    <t>Huỳnh Phương Gia</t>
  </si>
  <si>
    <t>Bảo</t>
  </si>
  <si>
    <t>19147017</t>
  </si>
  <si>
    <t>Nguyễn Thụy Lạc</t>
  </si>
  <si>
    <t>Yên</t>
  </si>
  <si>
    <t>20146008</t>
  </si>
  <si>
    <t>Trương Nhật</t>
  </si>
  <si>
    <t>18247110</t>
  </si>
  <si>
    <t>Vương Duy</t>
  </si>
  <si>
    <t>Nghiêm</t>
  </si>
  <si>
    <t>20247194</t>
  </si>
  <si>
    <t>Đoàn Triệu</t>
  </si>
  <si>
    <t>Tiến</t>
  </si>
  <si>
    <t>20146048</t>
  </si>
  <si>
    <t>Đỗ Phương</t>
  </si>
  <si>
    <t>Thảo</t>
  </si>
  <si>
    <t>20247142</t>
  </si>
  <si>
    <t>Nguyễn Kim</t>
  </si>
  <si>
    <t>19247171</t>
  </si>
  <si>
    <t>Trần Thiện Thảo</t>
  </si>
  <si>
    <t>18247015</t>
  </si>
  <si>
    <t>Trần Nam</t>
  </si>
  <si>
    <t>19147018</t>
  </si>
  <si>
    <t>19247027</t>
  </si>
  <si>
    <t>Nguyễn Anh</t>
  </si>
  <si>
    <t>19247135</t>
  </si>
  <si>
    <t>Nguyễn Nhật</t>
  </si>
  <si>
    <t>Nguyễn Thị Mỹ</t>
  </si>
  <si>
    <t>20146006</t>
  </si>
  <si>
    <t>Lê Thị Gia</t>
  </si>
  <si>
    <t>Lợi</t>
  </si>
  <si>
    <t>20147012</t>
  </si>
  <si>
    <t>Phan Ngọc Quỳnh</t>
  </si>
  <si>
    <t>19247142</t>
  </si>
  <si>
    <t>Hoàng Minh</t>
  </si>
  <si>
    <t>20247027</t>
  </si>
  <si>
    <t>Ngô Hồng Phi</t>
  </si>
  <si>
    <t>Loan</t>
  </si>
  <si>
    <t>20146029</t>
  </si>
  <si>
    <t>Hùng</t>
  </si>
  <si>
    <t>20247043</t>
  </si>
  <si>
    <t>Trần Nguyên</t>
  </si>
  <si>
    <t>Tân</t>
  </si>
  <si>
    <t>19247060</t>
  </si>
  <si>
    <t>Nhăm Minh</t>
  </si>
  <si>
    <t>Kỳ</t>
  </si>
  <si>
    <t>19147019</t>
  </si>
  <si>
    <t>Hà Nguyễn Kỷ</t>
  </si>
  <si>
    <t>20247018</t>
  </si>
  <si>
    <t>Đàm Huy</t>
  </si>
  <si>
    <t>Giàu</t>
  </si>
  <si>
    <t>19247231</t>
  </si>
  <si>
    <t>Nguyễn Hồng</t>
  </si>
  <si>
    <t>20146005</t>
  </si>
  <si>
    <t>Quách Mai</t>
  </si>
  <si>
    <t>Khanh</t>
  </si>
  <si>
    <t>20146051</t>
  </si>
  <si>
    <t>Nguyễn Vạn</t>
  </si>
  <si>
    <t>Thiện</t>
  </si>
  <si>
    <t>18146002</t>
  </si>
  <si>
    <t>Bùi Thị Lan</t>
  </si>
  <si>
    <t>18146029</t>
  </si>
  <si>
    <t>Nguyễn Tấn Vĩnh</t>
  </si>
  <si>
    <t>Tùng</t>
  </si>
  <si>
    <t>18247046</t>
  </si>
  <si>
    <t>Nguyễn Hào</t>
  </si>
  <si>
    <t>Trình</t>
  </si>
  <si>
    <t>18247146</t>
  </si>
  <si>
    <t>Đào Xuân</t>
  </si>
  <si>
    <t>19247187</t>
  </si>
  <si>
    <t>20147102</t>
  </si>
  <si>
    <t>Nguyễn Trần Trọng</t>
  </si>
  <si>
    <t>Tín</t>
  </si>
  <si>
    <t>18146012</t>
  </si>
  <si>
    <t>Đoàn Linh</t>
  </si>
  <si>
    <t>Khá</t>
  </si>
  <si>
    <t>18146067</t>
  </si>
  <si>
    <t>Nguyễn Ngọc Quỳnh</t>
  </si>
  <si>
    <t>Hoa</t>
  </si>
  <si>
    <t>20247048</t>
  </si>
  <si>
    <t>Nguyễn Hoàng Phúc</t>
  </si>
  <si>
    <t>Tiên</t>
  </si>
  <si>
    <t>20247108</t>
  </si>
  <si>
    <t>18247010</t>
  </si>
  <si>
    <t>20147071</t>
  </si>
  <si>
    <t>Nguyễn Tất Hoàng</t>
  </si>
  <si>
    <t>20247162</t>
  </si>
  <si>
    <t>Trần Ngọc</t>
  </si>
  <si>
    <t>Sơn</t>
  </si>
  <si>
    <t>18146066</t>
  </si>
  <si>
    <t>Lê Hải</t>
  </si>
  <si>
    <t>Đăng</t>
  </si>
  <si>
    <t>20247148</t>
  </si>
  <si>
    <t>Nguyễn Nam</t>
  </si>
  <si>
    <t>Phương</t>
  </si>
  <si>
    <t>20247078</t>
  </si>
  <si>
    <t>Lê Thị Thùy</t>
  </si>
  <si>
    <t>20247149</t>
  </si>
  <si>
    <t>Trần Thị Thu</t>
  </si>
  <si>
    <t>20147075</t>
  </si>
  <si>
    <t>Nguyễn Thị Bảo</t>
  </si>
  <si>
    <t>20147073</t>
  </si>
  <si>
    <t>Hà Thế</t>
  </si>
  <si>
    <t>20147107</t>
  </si>
  <si>
    <t>Đinh Ngọc</t>
  </si>
  <si>
    <t>Tuấn</t>
  </si>
  <si>
    <t>20147092</t>
  </si>
  <si>
    <t>1714008</t>
  </si>
  <si>
    <t>Trần Thái</t>
  </si>
  <si>
    <t>19247220</t>
  </si>
  <si>
    <t>Thái Thành</t>
  </si>
  <si>
    <t>20147117</t>
  </si>
  <si>
    <t>Nguyễn Kim Hoài</t>
  </si>
  <si>
    <t>20146038</t>
  </si>
  <si>
    <t>Dung</t>
  </si>
  <si>
    <t xml:space="preserve">Khá </t>
  </si>
  <si>
    <t>19247038</t>
  </si>
  <si>
    <t>Nguyễn Ngọc Thảo</t>
  </si>
  <si>
    <t>18247034</t>
  </si>
  <si>
    <t>Châm</t>
  </si>
  <si>
    <t>18247117</t>
  </si>
  <si>
    <t>18247162</t>
  </si>
  <si>
    <t>Đặng Khánh</t>
  </si>
  <si>
    <t>18247163</t>
  </si>
  <si>
    <t>Mai Thị Thuỳ</t>
  </si>
  <si>
    <t>20147120</t>
  </si>
  <si>
    <t>Bùi Việt</t>
  </si>
  <si>
    <t>Hưng</t>
  </si>
  <si>
    <t>19247178</t>
  </si>
  <si>
    <t>Nguyễn Vũ Hồng</t>
  </si>
  <si>
    <t>19247217</t>
  </si>
  <si>
    <t>Nguyễn Tuấn</t>
  </si>
  <si>
    <t>Tú</t>
  </si>
  <si>
    <t>19247209</t>
  </si>
  <si>
    <t>18247073</t>
  </si>
  <si>
    <t>18247138</t>
  </si>
  <si>
    <t>Huỳnh Quốc</t>
  </si>
  <si>
    <t>19247114</t>
  </si>
  <si>
    <t>Phạm Đăng</t>
  </si>
  <si>
    <t>20147042</t>
  </si>
  <si>
    <t>Trần Kim</t>
  </si>
  <si>
    <t>1714010</t>
  </si>
  <si>
    <t>Nguyễn Thị Thùy</t>
  </si>
  <si>
    <t>20147105</t>
  </si>
  <si>
    <t>Trần Mỹ</t>
  </si>
  <si>
    <t>19247195</t>
  </si>
  <si>
    <t>Lê Thụy Thanh</t>
  </si>
  <si>
    <t>19247099</t>
  </si>
  <si>
    <t>Huỳnh Ngọc Trâm</t>
  </si>
  <si>
    <t>19247222</t>
  </si>
  <si>
    <t>Phạm Thị Băng</t>
  </si>
  <si>
    <t>19247116</t>
  </si>
  <si>
    <t>Đinh Mỹ</t>
  </si>
  <si>
    <t>19247169</t>
  </si>
  <si>
    <t>Phan Nguyễn Song</t>
  </si>
  <si>
    <t>18247024</t>
  </si>
  <si>
    <t>Nguyễn Như</t>
  </si>
  <si>
    <t>18247059</t>
  </si>
  <si>
    <t>Diệp Hữu</t>
  </si>
  <si>
    <t>Bằng</t>
  </si>
  <si>
    <t>18247132</t>
  </si>
  <si>
    <t>Trương Tấn</t>
  </si>
  <si>
    <t>18247165</t>
  </si>
  <si>
    <t>Trần Minh</t>
  </si>
  <si>
    <t>19247024</t>
  </si>
  <si>
    <t>Lê Trần Kỳ</t>
  </si>
  <si>
    <t>19247145</t>
  </si>
  <si>
    <t>Võ Hoàng</t>
  </si>
  <si>
    <t>18247134</t>
  </si>
  <si>
    <t>Nguyễn Toàn</t>
  </si>
  <si>
    <t>18247064</t>
  </si>
  <si>
    <t>Mai Nguyễn Hồng</t>
  </si>
  <si>
    <t>Chương</t>
  </si>
  <si>
    <t>MSSV</t>
  </si>
  <si>
    <t>ĐẠI HỌC QUỐC GIA TP. HCM</t>
  </si>
  <si>
    <t>CỘNG HÒA XÃ HỘI CHỦ NGHĨA VIỆT NAM</t>
  </si>
  <si>
    <t>TRƯỜNG ĐẠI HỌC KHOA HỌC TỰ NHIÊN</t>
  </si>
  <si>
    <t>Độc lập - Tự do - Hạnh phúc</t>
  </si>
  <si>
    <t>HỌC KỲ 1, NĂM HỌC 2020 - 2021</t>
  </si>
  <si>
    <t>STT</t>
  </si>
  <si>
    <t>HỌ</t>
  </si>
  <si>
    <t>TÊN</t>
  </si>
  <si>
    <t>ĐTB xét HB</t>
  </si>
  <si>
    <t>XL ĐTB xét HB</t>
  </si>
  <si>
    <t>XL RL HK1/2021</t>
  </si>
  <si>
    <t xml:space="preserve">NGÂN HÀNG </t>
  </si>
  <si>
    <t>HỌC KỲ 2, NĂM HỌC 2020 - 2021 (KHÓA 2018)</t>
  </si>
  <si>
    <t>HỌC KỲ 1, NĂM HỌC 2020 - 2021 (KHÓA 2019, 2020)</t>
  </si>
  <si>
    <t>079201010147</t>
  </si>
  <si>
    <t>6380220018734</t>
  </si>
  <si>
    <t>Agribank - Bình Thạnh</t>
  </si>
  <si>
    <t>201772917</t>
  </si>
  <si>
    <t>19036165997013</t>
  </si>
  <si>
    <t>Techcombank - Ấp Bắc</t>
  </si>
  <si>
    <t>261581784</t>
  </si>
  <si>
    <t>0621000439842</t>
  </si>
  <si>
    <t>Vietcombank - Bình Thuận</t>
  </si>
  <si>
    <t>026077705</t>
  </si>
  <si>
    <t>14110000483343</t>
  </si>
  <si>
    <t>BIDV - Chợ Lớn</t>
  </si>
  <si>
    <t>079301027397</t>
  </si>
  <si>
    <t>1017322388</t>
  </si>
  <si>
    <t>Vietcombank - Hồ Chí Minh</t>
  </si>
  <si>
    <t>321613666</t>
  </si>
  <si>
    <t>6380220031699</t>
  </si>
  <si>
    <t>366350745</t>
  </si>
  <si>
    <t>6380220029219</t>
  </si>
  <si>
    <t>382009126</t>
  </si>
  <si>
    <t>6380220032866</t>
  </si>
  <si>
    <t>321766711</t>
  </si>
  <si>
    <t>106870782449</t>
  </si>
  <si>
    <t>Vietinbank - Bến Tre</t>
  </si>
  <si>
    <t>381975265</t>
  </si>
  <si>
    <t>7505205219315</t>
  </si>
  <si>
    <t>Agribank - Cái Nước</t>
  </si>
  <si>
    <t>079201010922</t>
  </si>
  <si>
    <t>6380220027583</t>
  </si>
  <si>
    <t xml:space="preserve"> Agribank - Bình Thạnh</t>
  </si>
  <si>
    <t>049301000044</t>
  </si>
  <si>
    <t>0421000514001</t>
  </si>
  <si>
    <t>Vietcombank - Hùng Vương</t>
  </si>
  <si>
    <t>301736088</t>
  </si>
  <si>
    <t>6380220029231</t>
  </si>
  <si>
    <t>206214327</t>
  </si>
  <si>
    <t>060253028230</t>
  </si>
  <si>
    <t>Sacombank - Nguyễn thị Minh Khai</t>
  </si>
  <si>
    <t>352599158</t>
  </si>
  <si>
    <t>6380220045750</t>
  </si>
  <si>
    <t>272816972</t>
  </si>
  <si>
    <t>6380220038731</t>
  </si>
  <si>
    <t>079300002008</t>
  </si>
  <si>
    <t>6380220027604</t>
  </si>
  <si>
    <t>212848840</t>
  </si>
  <si>
    <t>6380220036896</t>
  </si>
  <si>
    <t>075201000048</t>
  </si>
  <si>
    <t>6380220027315</t>
  </si>
  <si>
    <t xml:space="preserve">Agribank - Bình Thạnh </t>
  </si>
  <si>
    <t>321811508</t>
  </si>
  <si>
    <t>7104205213811</t>
  </si>
  <si>
    <t>Agribank - Bình Đại</t>
  </si>
  <si>
    <t>079301011524</t>
  </si>
  <si>
    <t>6380220027548</t>
  </si>
  <si>
    <t>079202016481</t>
  </si>
  <si>
    <t>6380220066040</t>
  </si>
  <si>
    <t>079302024222</t>
  </si>
  <si>
    <t>6380220064681</t>
  </si>
  <si>
    <t>079302012425</t>
  </si>
  <si>
    <t>6380220053820</t>
  </si>
  <si>
    <t>225718601</t>
  </si>
  <si>
    <t>6380220064731</t>
  </si>
  <si>
    <t>079302028338</t>
  </si>
  <si>
    <t>6380220065560</t>
  </si>
  <si>
    <t>321628844</t>
  </si>
  <si>
    <t>6380220068393</t>
  </si>
  <si>
    <t>052302000160</t>
  </si>
  <si>
    <t>6380220078170</t>
  </si>
  <si>
    <t>072302004795</t>
  </si>
  <si>
    <t>6380220065468</t>
  </si>
  <si>
    <t>381933505</t>
  </si>
  <si>
    <t>6380220074758</t>
  </si>
  <si>
    <t>079302028894</t>
  </si>
  <si>
    <t>6380220076038</t>
  </si>
  <si>
    <t>079202019117</t>
  </si>
  <si>
    <t>6380220075324</t>
  </si>
  <si>
    <t>079202010808</t>
  </si>
  <si>
    <t>6380220075977</t>
  </si>
  <si>
    <t>079302001715</t>
  </si>
  <si>
    <t>6380220062214</t>
  </si>
  <si>
    <t>079202011061</t>
  </si>
  <si>
    <t>6380220059370</t>
  </si>
  <si>
    <t>079202037848</t>
  </si>
  <si>
    <t>6380220075948</t>
  </si>
  <si>
    <t>272814467</t>
  </si>
  <si>
    <t>6380220065156</t>
  </si>
  <si>
    <t>079302019147</t>
  </si>
  <si>
    <t>6380220073204</t>
  </si>
  <si>
    <t>079302012882</t>
  </si>
  <si>
    <t>6380220071165</t>
  </si>
  <si>
    <t>051302000139</t>
  </si>
  <si>
    <t>6380220075268</t>
  </si>
  <si>
    <t>352586772</t>
  </si>
  <si>
    <t>6707276213702</t>
  </si>
  <si>
    <t>Agribank - An Giang</t>
  </si>
  <si>
    <t>079302015872</t>
  </si>
  <si>
    <t>6380220074729</t>
  </si>
  <si>
    <t>DANH SÁCH SINH VIÊN CHƯƠNG TRÌNH CLC HÓA HỌC NHẬN HỌC BỔNG  KHUYẾN KHÍCH</t>
  </si>
  <si>
    <t>DANH SÁCH SINH VIÊN CHƯƠNG TRÌNH HÓA VIỆT-PHÁP NHẬN HỌC BỔNG  KHUYẾN KHÍCH</t>
  </si>
  <si>
    <t>HỌC KỲ 2, NĂM HỌC 2020 - 2021 (KHÓA 2017, 2018, 2019)</t>
  </si>
  <si>
    <t>HỌC KỲ 1, NĂM HỌC 2020 - 2021 (KHÓA 2020)</t>
  </si>
  <si>
    <t>079302012519</t>
  </si>
  <si>
    <t>6380220053259</t>
  </si>
  <si>
    <t>079202020015</t>
  </si>
  <si>
    <t>6380220055009</t>
  </si>
  <si>
    <t>052202000075</t>
  </si>
  <si>
    <t>6380220059623</t>
  </si>
  <si>
    <t>281302732</t>
  </si>
  <si>
    <t>6380220060884</t>
  </si>
  <si>
    <t>DANH SÁCH SINH VIÊN CHƯƠNG TRÌNH CNKT HÓA HỌC NHẬN HỌC BỔNG  KHUYẾN KHÍCH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</si>
</sst>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đ&quot;"/>
  </numFmts>
  <fonts count="9" x14ac:knownFonts="1">
    <font>
      <sz val="10"/>
      <color rgb="FF000000"/>
      <name val="Arial"/>
    </font>
    <font>
      <b/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7"/>
      <color theme="1"/>
      <name val="Times New Roman"/>
      <family val="1"/>
    </font>
    <font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/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 shrinkToFi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/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27"/>
  <sheetViews>
    <sheetView workbookViewId="0">
      <selection activeCell="I8" sqref="I8"/>
    </sheetView>
  </sheetViews>
  <sheetFormatPr defaultColWidth="14.42578125" defaultRowHeight="15.75" customHeight="1" x14ac:dyDescent="0.2"/>
  <cols>
    <col min="1" max="1" width="5.42578125" bestFit="1" customWidth="1"/>
    <col min="3" max="3" width="19.28515625" bestFit="1" customWidth="1"/>
    <col min="4" max="4" width="9" bestFit="1" customWidth="1"/>
    <col min="5" max="5" width="9.85546875" customWidth="1"/>
    <col min="6" max="6" width="10.85546875" customWidth="1"/>
    <col min="7" max="7" width="12" bestFit="1" customWidth="1"/>
    <col min="8" max="8" width="11.5703125" customWidth="1"/>
    <col min="9" max="9" width="15.85546875" customWidth="1"/>
    <col min="10" max="10" width="9.85546875" customWidth="1"/>
    <col min="12" max="12" width="19" customWidth="1"/>
    <col min="13" max="13" width="21.42578125" customWidth="1"/>
    <col min="14" max="14" width="33.7109375" bestFit="1" customWidth="1"/>
  </cols>
  <sheetData>
    <row r="1" spans="1:14" s="1" customFormat="1" ht="26.25" customHeight="1" x14ac:dyDescent="0.3">
      <c r="B1" s="2" t="s">
        <v>300</v>
      </c>
      <c r="C1" s="2"/>
      <c r="D1" s="2"/>
      <c r="E1" s="2"/>
      <c r="F1" s="3"/>
      <c r="G1" s="3"/>
      <c r="H1" s="4"/>
      <c r="I1" s="2" t="s">
        <v>301</v>
      </c>
      <c r="J1" s="2"/>
      <c r="K1" s="2"/>
      <c r="L1" s="2"/>
      <c r="M1" s="2"/>
      <c r="N1" s="5"/>
    </row>
    <row r="2" spans="1:14" s="1" customFormat="1" ht="26.25" customHeight="1" x14ac:dyDescent="0.3">
      <c r="B2" s="6" t="s">
        <v>302</v>
      </c>
      <c r="C2" s="6"/>
      <c r="D2" s="6"/>
      <c r="E2" s="6"/>
      <c r="F2" s="5"/>
      <c r="G2" s="5"/>
      <c r="H2" s="4"/>
      <c r="I2" s="7" t="s">
        <v>303</v>
      </c>
      <c r="J2" s="7"/>
      <c r="K2" s="7"/>
      <c r="L2" s="7"/>
      <c r="M2" s="7"/>
      <c r="N2" s="5"/>
    </row>
    <row r="3" spans="1:14" s="1" customFormat="1" x14ac:dyDescent="0.25">
      <c r="C3" s="8"/>
      <c r="D3" s="8"/>
      <c r="E3" s="8"/>
      <c r="F3" s="8"/>
      <c r="M3" s="9"/>
    </row>
    <row r="4" spans="1:14" s="1" customFormat="1" ht="26.25" customHeight="1" x14ac:dyDescent="0.25">
      <c r="A4" s="10" t="s">
        <v>423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5"/>
    </row>
    <row r="5" spans="1:14" s="1" customFormat="1" ht="21.75" x14ac:dyDescent="0.25">
      <c r="A5" s="10" t="s">
        <v>312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3"/>
    </row>
    <row r="6" spans="1:14" s="1" customFormat="1" ht="21.75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4" ht="12.75" x14ac:dyDescent="0.2">
      <c r="D7" s="12"/>
      <c r="E7" s="12"/>
    </row>
    <row r="8" spans="1:14" ht="64.5" customHeight="1" x14ac:dyDescent="0.2">
      <c r="A8" s="13" t="s">
        <v>305</v>
      </c>
      <c r="B8" s="14" t="s">
        <v>299</v>
      </c>
      <c r="C8" s="14" t="s">
        <v>306</v>
      </c>
      <c r="D8" s="13" t="s">
        <v>307</v>
      </c>
      <c r="E8" s="15" t="s">
        <v>308</v>
      </c>
      <c r="F8" s="15" t="s">
        <v>309</v>
      </c>
      <c r="G8" s="15" t="s">
        <v>310</v>
      </c>
      <c r="H8" s="15" t="s">
        <v>0</v>
      </c>
      <c r="I8" s="16" t="s">
        <v>1</v>
      </c>
      <c r="J8" s="15" t="s">
        <v>2</v>
      </c>
      <c r="K8" s="16" t="s">
        <v>3</v>
      </c>
      <c r="L8" s="13" t="s">
        <v>4</v>
      </c>
      <c r="M8" s="13" t="s">
        <v>5</v>
      </c>
      <c r="N8" s="13" t="s">
        <v>311</v>
      </c>
    </row>
    <row r="9" spans="1:14" ht="15.75" customHeight="1" x14ac:dyDescent="0.25">
      <c r="A9" s="17">
        <v>1</v>
      </c>
      <c r="B9" s="21" t="s">
        <v>209</v>
      </c>
      <c r="C9" s="24" t="s">
        <v>7</v>
      </c>
      <c r="D9" s="25" t="s">
        <v>51</v>
      </c>
      <c r="E9" s="22">
        <v>8.9</v>
      </c>
      <c r="F9" s="22" t="s">
        <v>23</v>
      </c>
      <c r="G9" s="22" t="s">
        <v>201</v>
      </c>
      <c r="H9" s="22" t="s">
        <v>201</v>
      </c>
      <c r="I9" s="23">
        <v>1170000</v>
      </c>
      <c r="J9" s="22">
        <v>3.5</v>
      </c>
      <c r="K9" s="23">
        <v>4095000</v>
      </c>
      <c r="L9" s="22" t="str">
        <f ca="1">IFERROR(__xludf.DUMMYFUNCTION("vlookup(A8,importrange(""https://docs.google.com/spreadsheets/d/1prlmS4FuM2U4ekyqLwZXLQkkR81TIQ7JPXPcomUjCYg/edit#gid=1822721348"",""Data!B2:E14575""),3,0)"),"079200002914")</f>
        <v>079200002914</v>
      </c>
      <c r="M9" s="22" t="str">
        <f ca="1">IFERROR(__xludf.DUMMYFUNCTION("vlookup(A8,importrange(""https://docs.google.com/spreadsheets/d/1prlmS4FuM2U4ekyqLwZXLQkkR81TIQ7JPXPcomUjCYg/edit#gid=1822721348"",""Data!B2:E14575""),4,0)"),"15453940001")</f>
        <v>15453940001</v>
      </c>
      <c r="N9" s="22" t="str">
        <f ca="1">IFERROR(__xludf.DUMMYFUNCTION("vlookup(A8,importrange(""https://docs.google.com/spreadsheets/d/1prlmS4FuM2U4ekyqLwZXLQkkR81TIQ7JPXPcomUjCYg/edit#gid=1822721348"",""Data!B2:14575""),5,0)"),"SCB - Long Biên")</f>
        <v>SCB - Long Biên</v>
      </c>
    </row>
    <row r="10" spans="1:14" ht="15.75" customHeight="1" x14ac:dyDescent="0.25">
      <c r="A10" s="17">
        <v>2</v>
      </c>
      <c r="B10" s="21" t="s">
        <v>146</v>
      </c>
      <c r="C10" s="24" t="s">
        <v>147</v>
      </c>
      <c r="D10" s="25" t="s">
        <v>96</v>
      </c>
      <c r="E10" s="22">
        <v>8.1999999999999993</v>
      </c>
      <c r="F10" s="22" t="s">
        <v>23</v>
      </c>
      <c r="G10" s="22" t="s">
        <v>22</v>
      </c>
      <c r="H10" s="22" t="s">
        <v>23</v>
      </c>
      <c r="I10" s="23">
        <v>1280000</v>
      </c>
      <c r="J10" s="22">
        <v>3.5</v>
      </c>
      <c r="K10" s="23">
        <v>4480000</v>
      </c>
      <c r="L10" s="22" t="str">
        <f ca="1">IFERROR(__xludf.DUMMYFUNCTION("vlookup(A5,importrange(""https://docs.google.com/spreadsheets/d/1prlmS4FuM2U4ekyqLwZXLQkkR81TIQ7JPXPcomUjCYg/edit#gid=1822721348"",""Data!B2:E14575""),3,0)"),"025922610")</f>
        <v>025922610</v>
      </c>
      <c r="M10" s="22" t="str">
        <f ca="1">IFERROR(__xludf.DUMMYFUNCTION("vlookup(A5,importrange(""https://docs.google.com/spreadsheets/d/1prlmS4FuM2U4ekyqLwZXLQkkR81TIQ7JPXPcomUjCYg/edit#gid=1822721348"",""Data!B2:E14575""),4,0)"),"19035441290011")</f>
        <v>19035441290011</v>
      </c>
      <c r="N10" s="22" t="str">
        <f ca="1">IFERROR(__xludf.DUMMYFUNCTION("vlookup(A5,importrange(""https://docs.google.com/spreadsheets/d/1prlmS4FuM2U4ekyqLwZXLQkkR81TIQ7JPXPcomUjCYg/edit#gid=1822721348"",""Data!B2:14575""),5,0)"),"Techcombank - Phú Thọ")</f>
        <v>Techcombank - Phú Thọ</v>
      </c>
    </row>
    <row r="11" spans="1:14" ht="15.75" customHeight="1" x14ac:dyDescent="0.25">
      <c r="A11" s="17">
        <v>3</v>
      </c>
      <c r="B11" s="21" t="s">
        <v>281</v>
      </c>
      <c r="C11" s="24" t="s">
        <v>282</v>
      </c>
      <c r="D11" s="25" t="s">
        <v>220</v>
      </c>
      <c r="E11" s="22">
        <v>7.6</v>
      </c>
      <c r="F11" s="22" t="s">
        <v>241</v>
      </c>
      <c r="G11" s="22" t="s">
        <v>9</v>
      </c>
      <c r="H11" s="22" t="s">
        <v>201</v>
      </c>
      <c r="I11" s="23">
        <v>1170000</v>
      </c>
      <c r="J11" s="22">
        <v>3.5</v>
      </c>
      <c r="K11" s="23">
        <v>4095000</v>
      </c>
      <c r="L11" s="22" t="str">
        <f ca="1">IFERROR(__xludf.DUMMYFUNCTION("vlookup(A15,importrange(""https://docs.google.com/spreadsheets/d/1prlmS4FuM2U4ekyqLwZXLQkkR81TIQ7JPXPcomUjCYg/edit#gid=1822721348"",""Data!B2:E14575""),3,0)"),"342028350")</f>
        <v>342028350</v>
      </c>
      <c r="M11" s="22" t="str">
        <f ca="1">IFERROR(__xludf.DUMMYFUNCTION("vlookup(A15,importrange(""https://docs.google.com/spreadsheets/d/1prlmS4FuM2U4ekyqLwZXLQkkR81TIQ7JPXPcomUjCYg/edit#gid=1822721348"",""Data!B2:E14575""),4,0)"),"6380205555685")</f>
        <v>6380205555685</v>
      </c>
      <c r="N11" s="22" t="str">
        <f ca="1">IFERROR(__xludf.DUMMYFUNCTION("vlookup(A15,importrange(""https://docs.google.com/spreadsheets/d/1prlmS4FuM2U4ekyqLwZXLQkkR81TIQ7JPXPcomUjCYg/edit#gid=1822721348"",""Data!B2:14575""),5,0)"),"Agribank - Bình Thạnh")</f>
        <v>Agribank - Bình Thạnh</v>
      </c>
    </row>
    <row r="12" spans="1:14" ht="15.75" customHeight="1" x14ac:dyDescent="0.25">
      <c r="A12" s="17">
        <v>4</v>
      </c>
      <c r="B12" s="21" t="s">
        <v>93</v>
      </c>
      <c r="C12" s="24" t="s">
        <v>94</v>
      </c>
      <c r="D12" s="25" t="s">
        <v>95</v>
      </c>
      <c r="E12" s="22">
        <v>8.5</v>
      </c>
      <c r="F12" s="22" t="s">
        <v>23</v>
      </c>
      <c r="G12" s="22" t="s">
        <v>22</v>
      </c>
      <c r="H12" s="22" t="s">
        <v>23</v>
      </c>
      <c r="I12" s="23">
        <v>1280000</v>
      </c>
      <c r="J12" s="22">
        <v>3.5</v>
      </c>
      <c r="K12" s="23">
        <v>4480000</v>
      </c>
      <c r="L12" s="22" t="str">
        <f ca="1">IFERROR(__xludf.DUMMYFUNCTION("vlookup(A2,importrange(""https://docs.google.com/spreadsheets/d/1prlmS4FuM2U4ekyqLwZXLQkkR81TIQ7JPXPcomUjCYg/edit#gid=1822721348"",""Data!B2:E14575""),3,0)"),"025865327")</f>
        <v>025865327</v>
      </c>
      <c r="M12" s="22" t="str">
        <f ca="1">IFERROR(__xludf.DUMMYFUNCTION("vlookup(A2,importrange(""https://docs.google.com/spreadsheets/d/1prlmS4FuM2U4ekyqLwZXLQkkR81TIQ7JPXPcomUjCYg/edit#gid=1822721348"",""Data!B2:E14575""),4,0)"),"6380205557009")</f>
        <v>6380205557009</v>
      </c>
      <c r="N12" s="22" t="str">
        <f ca="1">IFERROR(__xludf.DUMMYFUNCTION("vlookup(A2,importrange(""https://docs.google.com/spreadsheets/d/1prlmS4FuM2U4ekyqLwZXLQkkR81TIQ7JPXPcomUjCYg/edit#gid=1822721348"",""Data!B2:14575""),5,0)"),"Agribank - Bình Thạnh")</f>
        <v>Agribank - Bình Thạnh</v>
      </c>
    </row>
    <row r="13" spans="1:14" ht="15.75" customHeight="1" x14ac:dyDescent="0.25">
      <c r="A13" s="17">
        <v>5</v>
      </c>
      <c r="B13" s="21" t="s">
        <v>244</v>
      </c>
      <c r="C13" s="24" t="s">
        <v>76</v>
      </c>
      <c r="D13" s="25" t="s">
        <v>245</v>
      </c>
      <c r="E13" s="22">
        <v>7.9</v>
      </c>
      <c r="F13" s="22" t="s">
        <v>241</v>
      </c>
      <c r="G13" s="22" t="s">
        <v>9</v>
      </c>
      <c r="H13" s="22" t="s">
        <v>201</v>
      </c>
      <c r="I13" s="23">
        <v>1170000</v>
      </c>
      <c r="J13" s="22">
        <v>3.5</v>
      </c>
      <c r="K13" s="23">
        <v>4095000</v>
      </c>
      <c r="L13" s="22" t="str">
        <f ca="1">IFERROR(__xludf.DUMMYFUNCTION("vlookup(A9,importrange(""https://docs.google.com/spreadsheets/d/1prlmS4FuM2U4ekyqLwZXLQkkR81TIQ7JPXPcomUjCYg/edit#gid=1822721348"",""Data!B2:E14575""),3,0)"),"342019041")</f>
        <v>342019041</v>
      </c>
      <c r="M13" s="22" t="str">
        <f ca="1">IFERROR(__xludf.DUMMYFUNCTION("vlookup(A9,importrange(""https://docs.google.com/spreadsheets/d/1prlmS4FuM2U4ekyqLwZXLQkkR81TIQ7JPXPcomUjCYg/edit#gid=1822721348"",""Data!B2:E14575""),4,0)"),"109868639874")</f>
        <v>109868639874</v>
      </c>
      <c r="N13" s="22" t="str">
        <f ca="1">IFERROR(__xludf.DUMMYFUNCTION("vlookup(A9,importrange(""https://docs.google.com/spreadsheets/d/1prlmS4FuM2U4ekyqLwZXLQkkR81TIQ7JPXPcomUjCYg/edit#gid=1822721348"",""Data!B2:14575""),5,0)"),"VietinBank - Đồng Tháp")</f>
        <v>VietinBank - Đồng Tháp</v>
      </c>
    </row>
    <row r="14" spans="1:14" ht="15.75" customHeight="1" x14ac:dyDescent="0.25">
      <c r="A14" s="17">
        <v>6</v>
      </c>
      <c r="B14" s="21" t="s">
        <v>190</v>
      </c>
      <c r="C14" s="24" t="s">
        <v>191</v>
      </c>
      <c r="D14" s="25" t="s">
        <v>192</v>
      </c>
      <c r="E14" s="22">
        <v>8</v>
      </c>
      <c r="F14" s="22" t="s">
        <v>23</v>
      </c>
      <c r="G14" s="22" t="s">
        <v>22</v>
      </c>
      <c r="H14" s="22" t="s">
        <v>23</v>
      </c>
      <c r="I14" s="23">
        <v>1280000</v>
      </c>
      <c r="J14" s="22">
        <v>3.5</v>
      </c>
      <c r="K14" s="23">
        <v>4480000</v>
      </c>
      <c r="L14" s="22" t="str">
        <f ca="1">IFERROR(__xludf.DUMMYFUNCTION("vlookup(A6,importrange(""https://docs.google.com/spreadsheets/d/1prlmS4FuM2U4ekyqLwZXLQkkR81TIQ7JPXPcomUjCYg/edit#gid=1822721348"",""Data!B2:E14575""),3,0)"),"272753036")</f>
        <v>272753036</v>
      </c>
      <c r="M14" s="22" t="str">
        <f ca="1">IFERROR(__xludf.DUMMYFUNCTION("vlookup(A6,importrange(""https://docs.google.com/spreadsheets/d/1prlmS4FuM2U4ekyqLwZXLQkkR81TIQ7JPXPcomUjCYg/edit#gid=1822721348"",""Data!B2:E14575""),4,0)"),"6380205557487")</f>
        <v>6380205557487</v>
      </c>
      <c r="N14" s="22" t="str">
        <f ca="1">IFERROR(__xludf.DUMMYFUNCTION("vlookup(A6,importrange(""https://docs.google.com/spreadsheets/d/1prlmS4FuM2U4ekyqLwZXLQkkR81TIQ7JPXPcomUjCYg/edit#gid=1822721348"",""Data!B2:14575""),5,0)"),"Agribank - Bình Thạnh")</f>
        <v>Agribank - Bình Thạnh</v>
      </c>
    </row>
    <row r="15" spans="1:14" ht="15.75" customHeight="1" x14ac:dyDescent="0.25">
      <c r="A15" s="17">
        <v>7</v>
      </c>
      <c r="B15" s="21" t="s">
        <v>283</v>
      </c>
      <c r="C15" s="24" t="s">
        <v>284</v>
      </c>
      <c r="D15" s="25" t="s">
        <v>285</v>
      </c>
      <c r="E15" s="22">
        <v>7.6</v>
      </c>
      <c r="F15" s="22" t="s">
        <v>241</v>
      </c>
      <c r="G15" s="22" t="s">
        <v>22</v>
      </c>
      <c r="H15" s="22" t="s">
        <v>201</v>
      </c>
      <c r="I15" s="23">
        <v>1170000</v>
      </c>
      <c r="J15" s="22">
        <v>3.5</v>
      </c>
      <c r="K15" s="23">
        <v>4095000</v>
      </c>
      <c r="L15" s="22" t="str">
        <f ca="1">IFERROR(__xludf.DUMMYFUNCTION("vlookup(A16,importrange(""https://docs.google.com/spreadsheets/d/1prlmS4FuM2U4ekyqLwZXLQkkR81TIQ7JPXPcomUjCYg/edit#gid=1822721348"",""Data!B2:E14575""),3,0)"),"381975321")</f>
        <v>381975321</v>
      </c>
      <c r="M15" s="22" t="str">
        <f ca="1">IFERROR(__xludf.DUMMYFUNCTION("vlookup(A16,importrange(""https://docs.google.com/spreadsheets/d/1prlmS4FuM2U4ekyqLwZXLQkkR81TIQ7JPXPcomUjCYg/edit#gid=1822721348"",""Data!B2:E14575""),4,0)"),"6380205574332")</f>
        <v>6380205574332</v>
      </c>
      <c r="N15" s="22" t="str">
        <f ca="1">IFERROR(__xludf.DUMMYFUNCTION("vlookup(A16,importrange(""https://docs.google.com/spreadsheets/d/1prlmS4FuM2U4ekyqLwZXLQkkR81TIQ7JPXPcomUjCYg/edit#gid=1822721348"",""Data!B2:14575""),5,0)"),"Agribank - Bình Thạnh")</f>
        <v>Agribank - Bình Thạnh</v>
      </c>
    </row>
    <row r="16" spans="1:14" ht="15.75" customHeight="1" x14ac:dyDescent="0.25">
      <c r="A16" s="17">
        <v>8</v>
      </c>
      <c r="B16" s="21" t="s">
        <v>296</v>
      </c>
      <c r="C16" s="24" t="s">
        <v>297</v>
      </c>
      <c r="D16" s="25" t="s">
        <v>298</v>
      </c>
      <c r="E16" s="22">
        <v>7.4</v>
      </c>
      <c r="F16" s="22" t="s">
        <v>241</v>
      </c>
      <c r="G16" s="22" t="s">
        <v>22</v>
      </c>
      <c r="H16" s="22" t="s">
        <v>201</v>
      </c>
      <c r="I16" s="23">
        <v>1170000</v>
      </c>
      <c r="J16" s="22">
        <v>3.5</v>
      </c>
      <c r="K16" s="23">
        <v>4095000</v>
      </c>
      <c r="L16" s="22" t="str">
        <f ca="1">IFERROR(__xludf.DUMMYFUNCTION("vlookup(A20,importrange(""https://docs.google.com/spreadsheets/d/1prlmS4FuM2U4ekyqLwZXLQkkR81TIQ7JPXPcomUjCYg/edit#gid=1822721348"",""Data!B2:E14575""),3,0)"),"026009008")</f>
        <v>026009008</v>
      </c>
      <c r="M16" s="22" t="str">
        <f ca="1">IFERROR(__xludf.DUMMYFUNCTION("vlookup(A20,importrange(""https://docs.google.com/spreadsheets/d/1prlmS4FuM2U4ekyqLwZXLQkkR81TIQ7JPXPcomUjCYg/edit#gid=1822721348"",""Data!B2:E14575""),4,0)"),"6380205564056")</f>
        <v>6380205564056</v>
      </c>
      <c r="N16" s="22" t="str">
        <f ca="1">IFERROR(__xludf.DUMMYFUNCTION("vlookup(A20,importrange(""https://docs.google.com/spreadsheets/d/1prlmS4FuM2U4ekyqLwZXLQkkR81TIQ7JPXPcomUjCYg/edit#gid=1822721348"",""Data!B2:14575""),5,0)"),"Agribank - Bình Thạnh")</f>
        <v>Agribank - Bình Thạnh</v>
      </c>
    </row>
    <row r="17" spans="1:14" ht="15.75" customHeight="1" x14ac:dyDescent="0.25">
      <c r="A17" s="17">
        <v>9</v>
      </c>
      <c r="B17" s="21" t="s">
        <v>260</v>
      </c>
      <c r="C17" s="24" t="s">
        <v>153</v>
      </c>
      <c r="D17" s="25" t="s">
        <v>70</v>
      </c>
      <c r="E17" s="22">
        <v>7.8</v>
      </c>
      <c r="F17" s="22" t="s">
        <v>241</v>
      </c>
      <c r="G17" s="22" t="s">
        <v>201</v>
      </c>
      <c r="H17" s="22" t="s">
        <v>201</v>
      </c>
      <c r="I17" s="23">
        <v>1170000</v>
      </c>
      <c r="J17" s="22">
        <v>3.5</v>
      </c>
      <c r="K17" s="23">
        <v>4095000</v>
      </c>
      <c r="L17" s="22" t="str">
        <f ca="1">IFERROR(__xludf.DUMMYFUNCTION("vlookup(A13,importrange(""https://docs.google.com/spreadsheets/d/1prlmS4FuM2U4ekyqLwZXLQkkR81TIQ7JPXPcomUjCYg/edit#gid=1822721348"",""Data!B2:E14575""),3,0)"),"335011466")</f>
        <v>335011466</v>
      </c>
      <c r="M17" s="22" t="str">
        <f ca="1">IFERROR(__xludf.DUMMYFUNCTION("vlookup(A13,importrange(""https://docs.google.com/spreadsheets/d/1prlmS4FuM2U4ekyqLwZXLQkkR81TIQ7JPXPcomUjCYg/edit#gid=1822721348"",""Data!B2:E14575""),4,0)"),"6380205565529")</f>
        <v>6380205565529</v>
      </c>
      <c r="N17" s="22" t="str">
        <f ca="1">IFERROR(__xludf.DUMMYFUNCTION("vlookup(A13,importrange(""https://docs.google.com/spreadsheets/d/1prlmS4FuM2U4ekyqLwZXLQkkR81TIQ7JPXPcomUjCYg/edit#gid=1822721348"",""Data!B2:14575""),5,0)"),"Agribank - Bình Thạnh")</f>
        <v>Agribank - Bình Thạnh</v>
      </c>
    </row>
    <row r="18" spans="1:14" ht="15.75" customHeight="1" x14ac:dyDescent="0.25">
      <c r="A18" s="17">
        <v>10</v>
      </c>
      <c r="B18" s="21" t="s">
        <v>133</v>
      </c>
      <c r="C18" s="24" t="s">
        <v>134</v>
      </c>
      <c r="D18" s="25" t="s">
        <v>135</v>
      </c>
      <c r="E18" s="22">
        <v>8.3000000000000007</v>
      </c>
      <c r="F18" s="22" t="s">
        <v>23</v>
      </c>
      <c r="G18" s="22" t="s">
        <v>22</v>
      </c>
      <c r="H18" s="22" t="s">
        <v>23</v>
      </c>
      <c r="I18" s="23">
        <v>1280000</v>
      </c>
      <c r="J18" s="22">
        <v>3.5</v>
      </c>
      <c r="K18" s="23">
        <v>4480000</v>
      </c>
      <c r="L18" s="22" t="str">
        <f ca="1">IFERROR(__xludf.DUMMYFUNCTION("vlookup(A4,importrange(""https://docs.google.com/spreadsheets/d/1prlmS4FuM2U4ekyqLwZXLQkkR81TIQ7JPXPcomUjCYg/edit#gid=1822721348"",""Data!B2:E14575""),3,0)"),"212584356")</f>
        <v>212584356</v>
      </c>
      <c r="M18" s="22" t="str">
        <f ca="1">IFERROR(__xludf.DUMMYFUNCTION("vlookup(A4,importrange(""https://docs.google.com/spreadsheets/d/1prlmS4FuM2U4ekyqLwZXLQkkR81TIQ7JPXPcomUjCYg/edit#gid=1822721348"",""Data!B2:E14575""),4,0)"),"6380205570570")</f>
        <v>6380205570570</v>
      </c>
      <c r="N18" s="22" t="str">
        <f ca="1">IFERROR(__xludf.DUMMYFUNCTION("vlookup(A4,importrange(""https://docs.google.com/spreadsheets/d/1prlmS4FuM2U4ekyqLwZXLQkkR81TIQ7JPXPcomUjCYg/edit#gid=1822721348"",""Data!B2:14575""),5,0)"),"Agribank - Bình Thạnh")</f>
        <v>Agribank - Bình Thạnh</v>
      </c>
    </row>
    <row r="19" spans="1:14" ht="15.75" customHeight="1" x14ac:dyDescent="0.25">
      <c r="A19" s="17">
        <v>11</v>
      </c>
      <c r="B19" s="21" t="s">
        <v>106</v>
      </c>
      <c r="C19" s="24" t="s">
        <v>107</v>
      </c>
      <c r="D19" s="25" t="s">
        <v>103</v>
      </c>
      <c r="E19" s="22">
        <v>8.4</v>
      </c>
      <c r="F19" s="22" t="s">
        <v>23</v>
      </c>
      <c r="G19" s="22" t="s">
        <v>22</v>
      </c>
      <c r="H19" s="22" t="s">
        <v>23</v>
      </c>
      <c r="I19" s="23">
        <v>1280000</v>
      </c>
      <c r="J19" s="22">
        <v>3.5</v>
      </c>
      <c r="K19" s="23">
        <v>4480000</v>
      </c>
      <c r="L19" s="22" t="str">
        <f ca="1">IFERROR(__xludf.DUMMYFUNCTION("vlookup(A3,importrange(""https://docs.google.com/spreadsheets/d/1prlmS4FuM2U4ekyqLwZXLQkkR81TIQ7JPXPcomUjCYg/edit#gid=1822721348"",""Data!B2:E14575""),3,0)"),"026015305")</f>
        <v>026015305</v>
      </c>
      <c r="M19" s="22" t="str">
        <f ca="1">IFERROR(__xludf.DUMMYFUNCTION("vlookup(A3,importrange(""https://docs.google.com/spreadsheets/d/1prlmS4FuM2U4ekyqLwZXLQkkR81TIQ7JPXPcomUjCYg/edit#gid=1822721348"",""Data!B2:E14575""),4,0)"),"060192120996")</f>
        <v>060192120996</v>
      </c>
      <c r="N19" s="22" t="str">
        <f ca="1">IFERROR(__xludf.DUMMYFUNCTION("vlookup(A3,importrange(""https://docs.google.com/spreadsheets/d/1prlmS4FuM2U4ekyqLwZXLQkkR81TIQ7JPXPcomUjCYg/edit#gid=1822721348"",""Data!B2:14575""),5,0)"),"Sacombank - Lý Thường Kiệt")</f>
        <v>Sacombank - Lý Thường Kiệt</v>
      </c>
    </row>
    <row r="20" spans="1:14" ht="15.75" customHeight="1" x14ac:dyDescent="0.25">
      <c r="A20" s="17">
        <v>12</v>
      </c>
      <c r="B20" s="21" t="s">
        <v>246</v>
      </c>
      <c r="C20" s="24" t="s">
        <v>24</v>
      </c>
      <c r="D20" s="25" t="s">
        <v>36</v>
      </c>
      <c r="E20" s="22">
        <v>7.9</v>
      </c>
      <c r="F20" s="22" t="s">
        <v>241</v>
      </c>
      <c r="G20" s="22" t="s">
        <v>201</v>
      </c>
      <c r="H20" s="22" t="s">
        <v>201</v>
      </c>
      <c r="I20" s="23">
        <v>1170000</v>
      </c>
      <c r="J20" s="22">
        <v>3.5</v>
      </c>
      <c r="K20" s="23">
        <v>4095000</v>
      </c>
      <c r="L20" s="22" t="str">
        <f ca="1">IFERROR(__xludf.DUMMYFUNCTION("vlookup(A10,importrange(""https://docs.google.com/spreadsheets/d/1prlmS4FuM2U4ekyqLwZXLQkkR81TIQ7JPXPcomUjCYg/edit#gid=1822721348"",""Data!B2:E14575""),3,0)"),"241671144")</f>
        <v>241671144</v>
      </c>
      <c r="M20" s="22" t="str">
        <f ca="1">IFERROR(__xludf.DUMMYFUNCTION("vlookup(A10,importrange(""https://docs.google.com/spreadsheets/d/1prlmS4FuM2U4ekyqLwZXLQkkR81TIQ7JPXPcomUjCYg/edit#gid=1822721348"",""Data!B2:E14575""),4,0)"),"0231000625667")</f>
        <v>0231000625667</v>
      </c>
      <c r="N20" s="22" t="str">
        <f ca="1">IFERROR(__xludf.DUMMYFUNCTION("vlookup(A10,importrange(""https://docs.google.com/spreadsheets/d/1prlmS4FuM2U4ekyqLwZXLQkkR81TIQ7JPXPcomUjCYg/edit#gid=1822721348"",""Data!B2:14575""),5,0)"),"Vietcombank - Đăk Lăk")</f>
        <v>Vietcombank - Đăk Lăk</v>
      </c>
    </row>
    <row r="21" spans="1:14" ht="15.75" customHeight="1" x14ac:dyDescent="0.25">
      <c r="A21" s="17">
        <v>13</v>
      </c>
      <c r="B21" s="21" t="s">
        <v>286</v>
      </c>
      <c r="C21" s="24" t="s">
        <v>287</v>
      </c>
      <c r="D21" s="25" t="s">
        <v>57</v>
      </c>
      <c r="E21" s="22">
        <v>7.6</v>
      </c>
      <c r="F21" s="22" t="s">
        <v>241</v>
      </c>
      <c r="G21" s="22" t="s">
        <v>201</v>
      </c>
      <c r="H21" s="22" t="s">
        <v>201</v>
      </c>
      <c r="I21" s="23">
        <v>1170000</v>
      </c>
      <c r="J21" s="22">
        <v>3.5</v>
      </c>
      <c r="K21" s="23">
        <v>4095000</v>
      </c>
      <c r="L21" s="22" t="str">
        <f ca="1">IFERROR(__xludf.DUMMYFUNCTION("vlookup(A17,importrange(""https://docs.google.com/spreadsheets/d/1prlmS4FuM2U4ekyqLwZXLQkkR81TIQ7JPXPcomUjCYg/edit#gid=1822721348"",""Data!B2:E14575""),3,0)"),"026004066")</f>
        <v>026004066</v>
      </c>
      <c r="M21" s="22" t="str">
        <f ca="1">IFERROR(__xludf.DUMMYFUNCTION("vlookup(A17,importrange(""https://docs.google.com/spreadsheets/d/1prlmS4FuM2U4ekyqLwZXLQkkR81TIQ7JPXPcomUjCYg/edit#gid=1822721348"",""Data!B2:E14575""),4,0)"),"6380205560604")</f>
        <v>6380205560604</v>
      </c>
      <c r="N21" s="22" t="str">
        <f ca="1">IFERROR(__xludf.DUMMYFUNCTION("vlookup(A17,importrange(""https://docs.google.com/spreadsheets/d/1prlmS4FuM2U4ekyqLwZXLQkkR81TIQ7JPXPcomUjCYg/edit#gid=1822721348"",""Data!B2:14575""),5,0)"),"AgriBank - Bình Thạnh")</f>
        <v>AgriBank - Bình Thạnh</v>
      </c>
    </row>
    <row r="22" spans="1:14" ht="15.75" customHeight="1" x14ac:dyDescent="0.25">
      <c r="A22" s="17">
        <v>14</v>
      </c>
      <c r="B22" s="21" t="s">
        <v>294</v>
      </c>
      <c r="C22" s="24" t="s">
        <v>295</v>
      </c>
      <c r="D22" s="25" t="s">
        <v>95</v>
      </c>
      <c r="E22" s="22">
        <v>7.5</v>
      </c>
      <c r="F22" s="22" t="s">
        <v>241</v>
      </c>
      <c r="G22" s="22" t="s">
        <v>22</v>
      </c>
      <c r="H22" s="22" t="s">
        <v>201</v>
      </c>
      <c r="I22" s="23">
        <v>1170000</v>
      </c>
      <c r="J22" s="22">
        <v>3.5</v>
      </c>
      <c r="K22" s="23">
        <v>4095000</v>
      </c>
      <c r="L22" s="22" t="str">
        <f ca="1">IFERROR(__xludf.DUMMYFUNCTION("vlookup(A19,importrange(""https://docs.google.com/spreadsheets/d/1prlmS4FuM2U4ekyqLwZXLQkkR81TIQ7JPXPcomUjCYg/edit#gid=1822721348"",""Data!B2:E14575""),3,0)"),"221493290")</f>
        <v>221493290</v>
      </c>
      <c r="M22" s="22" t="str">
        <f ca="1">IFERROR(__xludf.DUMMYFUNCTION("vlookup(A19,importrange(""https://docs.google.com/spreadsheets/d/1prlmS4FuM2U4ekyqLwZXLQkkR81TIQ7JPXPcomUjCYg/edit#gid=1822721348"",""Data!B2:E14575""),4,0)"),"8007041076188")</f>
        <v>8007041076188</v>
      </c>
      <c r="N22" s="22" t="str">
        <f ca="1">IFERROR(__xludf.DUMMYFUNCTION("vlookup(A19,importrange(""https://docs.google.com/spreadsheets/d/1prlmS4FuM2U4ekyqLwZXLQkkR81TIQ7JPXPcomUjCYg/edit#gid=1822721348"",""Data!B2:14575""),5,0)"),"Viet Capital Bank - Hồ Chí Minh")</f>
        <v>Viet Capital Bank - Hồ Chí Minh</v>
      </c>
    </row>
    <row r="23" spans="1:14" ht="15.75" customHeight="1" x14ac:dyDescent="0.25">
      <c r="A23" s="17">
        <v>15</v>
      </c>
      <c r="B23" s="21" t="s">
        <v>261</v>
      </c>
      <c r="C23" s="24" t="s">
        <v>262</v>
      </c>
      <c r="D23" s="25" t="s">
        <v>50</v>
      </c>
      <c r="E23" s="22">
        <v>7.8</v>
      </c>
      <c r="F23" s="22" t="s">
        <v>241</v>
      </c>
      <c r="G23" s="22" t="s">
        <v>201</v>
      </c>
      <c r="H23" s="22" t="s">
        <v>201</v>
      </c>
      <c r="I23" s="23">
        <v>1170000</v>
      </c>
      <c r="J23" s="22">
        <v>3.5</v>
      </c>
      <c r="K23" s="23">
        <v>4095000</v>
      </c>
      <c r="L23" s="22" t="str">
        <f ca="1">IFERROR(__xludf.DUMMYFUNCTION("vlookup(A14,importrange(""https://docs.google.com/spreadsheets/d/1prlmS4FuM2U4ekyqLwZXLQkkR81TIQ7JPXPcomUjCYg/edit#gid=1822721348"",""Data!B2:E14575""),3,0)"),"381898606")</f>
        <v>381898606</v>
      </c>
      <c r="M23" s="22" t="str">
        <f ca="1">IFERROR(__xludf.DUMMYFUNCTION("vlookup(A14,importrange(""https://docs.google.com/spreadsheets/d/1prlmS4FuM2U4ekyqLwZXLQkkR81TIQ7JPXPcomUjCYg/edit#gid=1822721348"",""Data!B2:E14575""),4,0)"),"6380205581090")</f>
        <v>6380205581090</v>
      </c>
      <c r="N23" s="22" t="str">
        <f ca="1">IFERROR(__xludf.DUMMYFUNCTION("vlookup(A14,importrange(""https://docs.google.com/spreadsheets/d/1prlmS4FuM2U4ekyqLwZXLQkkR81TIQ7JPXPcomUjCYg/edit#gid=1822721348"",""Data!B2:14575""),5,0)"),"Agribank - Bình Thạnh")</f>
        <v>Agribank - Bình Thạnh</v>
      </c>
    </row>
    <row r="24" spans="1:14" ht="15.75" customHeight="1" x14ac:dyDescent="0.25">
      <c r="A24" s="17">
        <v>16</v>
      </c>
      <c r="B24" s="21" t="s">
        <v>193</v>
      </c>
      <c r="C24" s="24" t="s">
        <v>194</v>
      </c>
      <c r="D24" s="25" t="s">
        <v>138</v>
      </c>
      <c r="E24" s="22">
        <v>8</v>
      </c>
      <c r="F24" s="22" t="s">
        <v>23</v>
      </c>
      <c r="G24" s="22" t="s">
        <v>9</v>
      </c>
      <c r="H24" s="22" t="s">
        <v>23</v>
      </c>
      <c r="I24" s="23">
        <v>1280000</v>
      </c>
      <c r="J24" s="22">
        <v>3.5</v>
      </c>
      <c r="K24" s="23">
        <v>4480000</v>
      </c>
      <c r="L24" s="22" t="str">
        <f ca="1">IFERROR(__xludf.DUMMYFUNCTION("vlookup(A7,importrange(""https://docs.google.com/spreadsheets/d/1prlmS4FuM2U4ekyqLwZXLQkkR81TIQ7JPXPcomUjCYg/edit#gid=1822721348"",""Data!B2:E14575""),3,0)"),"281247813")</f>
        <v>281247813</v>
      </c>
      <c r="M24" s="22" t="str">
        <f ca="1">IFERROR(__xludf.DUMMYFUNCTION("vlookup(A7,importrange(""https://docs.google.com/spreadsheets/d/1prlmS4FuM2U4ekyqLwZXLQkkR81TIQ7JPXPcomUjCYg/edit#gid=1822721348"",""Data!B2:E14575""),4,0)"),"6380205569621")</f>
        <v>6380205569621</v>
      </c>
      <c r="N24" s="22" t="str">
        <f ca="1">IFERROR(__xludf.DUMMYFUNCTION("vlookup(A7,importrange(""https://docs.google.com/spreadsheets/d/1prlmS4FuM2U4ekyqLwZXLQkkR81TIQ7JPXPcomUjCYg/edit#gid=1822721348"",""Data!B2:14575""),5,0)"),"Agribank - Bình Thạnh")</f>
        <v>Agribank - Bình Thạnh</v>
      </c>
    </row>
    <row r="25" spans="1:14" ht="15.75" customHeight="1" x14ac:dyDescent="0.25">
      <c r="A25" s="17">
        <v>17</v>
      </c>
      <c r="B25" s="21" t="s">
        <v>247</v>
      </c>
      <c r="C25" s="24" t="s">
        <v>248</v>
      </c>
      <c r="D25" s="25" t="s">
        <v>41</v>
      </c>
      <c r="E25" s="22">
        <v>7.9</v>
      </c>
      <c r="F25" s="22" t="s">
        <v>241</v>
      </c>
      <c r="G25" s="22" t="s">
        <v>201</v>
      </c>
      <c r="H25" s="22" t="s">
        <v>201</v>
      </c>
      <c r="I25" s="23">
        <v>1170000</v>
      </c>
      <c r="J25" s="22">
        <v>3.5</v>
      </c>
      <c r="K25" s="23">
        <v>4095000</v>
      </c>
      <c r="L25" s="22" t="str">
        <f ca="1">IFERROR(__xludf.DUMMYFUNCTION("vlookup(A11,importrange(""https://docs.google.com/spreadsheets/d/1prlmS4FuM2U4ekyqLwZXLQkkR81TIQ7JPXPcomUjCYg/edit#gid=1822721348"",""Data!B2:E14575""),3,0)"),"079300006208")</f>
        <v>079300006208</v>
      </c>
      <c r="M25" s="22" t="str">
        <f ca="1">IFERROR(__xludf.DUMMYFUNCTION("vlookup(A11,importrange(""https://docs.google.com/spreadsheets/d/1prlmS4FuM2U4ekyqLwZXLQkkR81TIQ7JPXPcomUjCYg/edit#gid=1822721348"",""Data!B2:E14575""),4,0)"),"6380205570984")</f>
        <v>6380205570984</v>
      </c>
      <c r="N25" s="22" t="str">
        <f ca="1">IFERROR(__xludf.DUMMYFUNCTION("vlookup(A11,importrange(""https://docs.google.com/spreadsheets/d/1prlmS4FuM2U4ekyqLwZXLQkkR81TIQ7JPXPcomUjCYg/edit#gid=1822721348"",""Data!B2:14575""),5,0)"),"Agribank - Bình Thạnh")</f>
        <v>Agribank - Bình Thạnh</v>
      </c>
    </row>
    <row r="26" spans="1:14" ht="15.75" customHeight="1" x14ac:dyDescent="0.25">
      <c r="A26" s="17">
        <v>18</v>
      </c>
      <c r="B26" s="21" t="s">
        <v>249</v>
      </c>
      <c r="C26" s="24" t="s">
        <v>250</v>
      </c>
      <c r="D26" s="25" t="s">
        <v>41</v>
      </c>
      <c r="E26" s="22">
        <v>7.9</v>
      </c>
      <c r="F26" s="22" t="s">
        <v>241</v>
      </c>
      <c r="G26" s="22" t="s">
        <v>22</v>
      </c>
      <c r="H26" s="22" t="s">
        <v>201</v>
      </c>
      <c r="I26" s="23">
        <v>1170000</v>
      </c>
      <c r="J26" s="22">
        <v>3.5</v>
      </c>
      <c r="K26" s="23">
        <v>4095000</v>
      </c>
      <c r="L26" s="22" t="str">
        <f ca="1">IFERROR(__xludf.DUMMYFUNCTION("vlookup(A12,importrange(""https://docs.google.com/spreadsheets/d/1prlmS4FuM2U4ekyqLwZXLQkkR81TIQ7JPXPcomUjCYg/edit#gid=1822721348"",""Data!B2:E14575""),3,0)"),"025957331")</f>
        <v>025957331</v>
      </c>
      <c r="M26" s="22" t="str">
        <f ca="1">IFERROR(__xludf.DUMMYFUNCTION("vlookup(A12,importrange(""https://docs.google.com/spreadsheets/d/1prlmS4FuM2U4ekyqLwZXLQkkR81TIQ7JPXPcomUjCYg/edit#gid=1822721348"",""Data!B2:E14575""),4,0)"),"6360205434582")</f>
        <v>6360205434582</v>
      </c>
      <c r="N26" s="22" t="str">
        <f ca="1">IFERROR(__xludf.DUMMYFUNCTION("vlookup(A12,importrange(""https://docs.google.com/spreadsheets/d/1prlmS4FuM2U4ekyqLwZXLQkkR81TIQ7JPXPcomUjCYg/edit#gid=1822721348"",""Data!B2:14575""),5,0)"),"Agribank - Tân Bình")</f>
        <v>Agribank - Tân Bình</v>
      </c>
    </row>
    <row r="27" spans="1:14" ht="15.75" customHeight="1" x14ac:dyDescent="0.25">
      <c r="A27" s="17">
        <v>19</v>
      </c>
      <c r="B27" s="21" t="s">
        <v>288</v>
      </c>
      <c r="C27" s="24" t="s">
        <v>289</v>
      </c>
      <c r="D27" s="25" t="s">
        <v>54</v>
      </c>
      <c r="E27" s="22">
        <v>7.6</v>
      </c>
      <c r="F27" s="22" t="s">
        <v>241</v>
      </c>
      <c r="G27" s="22" t="s">
        <v>22</v>
      </c>
      <c r="H27" s="22" t="s">
        <v>201</v>
      </c>
      <c r="I27" s="23">
        <v>1170000</v>
      </c>
      <c r="J27" s="22">
        <v>3.5</v>
      </c>
      <c r="K27" s="23">
        <v>4095000</v>
      </c>
      <c r="L27" s="22" t="str">
        <f ca="1">IFERROR(__xludf.DUMMYFUNCTION("vlookup(A18,importrange(""https://docs.google.com/spreadsheets/d/1prlmS4FuM2U4ekyqLwZXLQkkR81TIQ7JPXPcomUjCYg/edit#gid=1822721348"",""Data!B2:E14575""),3,0)"),"026035923")</f>
        <v>026035923</v>
      </c>
      <c r="M27" s="22" t="str">
        <f ca="1">IFERROR(__xludf.DUMMYFUNCTION("vlookup(A18,importrange(""https://docs.google.com/spreadsheets/d/1prlmS4FuM2U4ekyqLwZXLQkkR81TIQ7JPXPcomUjCYg/edit#gid=1822721348"",""Data!B2:E14575""),4,0)"),"6380205559640")</f>
        <v>6380205559640</v>
      </c>
      <c r="N27" s="22" t="str">
        <f ca="1">IFERROR(__xludf.DUMMYFUNCTION("vlookup(A18,importrange(""https://docs.google.com/spreadsheets/d/1prlmS4FuM2U4ekyqLwZXLQkkR81TIQ7JPXPcomUjCYg/edit#gid=1822721348"",""Data!B2:14575""),5,0)"),"Agribank - Bình Thạnh")</f>
        <v>Agribank - Bình Thạnh</v>
      </c>
    </row>
  </sheetData>
  <sortState ref="B2:Q20">
    <sortCondition ref="B2:B20"/>
    <sortCondition descending="1" ref="E2:E20"/>
  </sortState>
  <mergeCells count="6">
    <mergeCell ref="B1:G1"/>
    <mergeCell ref="I1:N1"/>
    <mergeCell ref="B2:G2"/>
    <mergeCell ref="I2:N2"/>
    <mergeCell ref="A4:N4"/>
    <mergeCell ref="A5:N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56"/>
  <sheetViews>
    <sheetView topLeftCell="A25" workbookViewId="0">
      <selection activeCell="G16" sqref="G16"/>
    </sheetView>
  </sheetViews>
  <sheetFormatPr defaultColWidth="14.42578125" defaultRowHeight="15.75" customHeight="1" x14ac:dyDescent="0.2"/>
  <cols>
    <col min="1" max="1" width="5.42578125" bestFit="1" customWidth="1"/>
    <col min="2" max="2" width="13.5703125" customWidth="1"/>
    <col min="3" max="3" width="21.28515625" bestFit="1" customWidth="1"/>
    <col min="4" max="4" width="8.7109375" bestFit="1" customWidth="1"/>
    <col min="5" max="5" width="10.85546875" customWidth="1"/>
    <col min="6" max="6" width="11.140625" customWidth="1"/>
    <col min="7" max="7" width="12" customWidth="1"/>
    <col min="8" max="8" width="12.42578125" customWidth="1"/>
    <col min="9" max="9" width="16.42578125" customWidth="1"/>
    <col min="10" max="10" width="10.5703125" customWidth="1"/>
    <col min="11" max="11" width="15.42578125" customWidth="1"/>
    <col min="12" max="12" width="18.85546875" customWidth="1"/>
    <col min="13" max="13" width="20.28515625" customWidth="1"/>
    <col min="14" max="14" width="37.42578125" customWidth="1"/>
  </cols>
  <sheetData>
    <row r="1" spans="1:14" s="1" customFormat="1" ht="26.25" customHeight="1" x14ac:dyDescent="0.3">
      <c r="B1" s="2" t="s">
        <v>300</v>
      </c>
      <c r="C1" s="2"/>
      <c r="D1" s="2"/>
      <c r="E1" s="2"/>
      <c r="F1" s="3"/>
      <c r="G1" s="3"/>
      <c r="H1" s="4"/>
      <c r="I1" s="2" t="s">
        <v>301</v>
      </c>
      <c r="J1" s="2"/>
      <c r="K1" s="2"/>
      <c r="L1" s="2"/>
      <c r="M1" s="2"/>
      <c r="N1" s="5"/>
    </row>
    <row r="2" spans="1:14" s="1" customFormat="1" ht="26.25" customHeight="1" x14ac:dyDescent="0.3">
      <c r="B2" s="6" t="s">
        <v>302</v>
      </c>
      <c r="C2" s="6"/>
      <c r="D2" s="6"/>
      <c r="E2" s="6"/>
      <c r="F2" s="5"/>
      <c r="G2" s="5"/>
      <c r="H2" s="4"/>
      <c r="I2" s="7" t="s">
        <v>303</v>
      </c>
      <c r="J2" s="7"/>
      <c r="K2" s="7"/>
      <c r="L2" s="7"/>
      <c r="M2" s="7"/>
      <c r="N2" s="5"/>
    </row>
    <row r="3" spans="1:14" s="1" customFormat="1" x14ac:dyDescent="0.25">
      <c r="C3" s="8"/>
      <c r="D3" s="8"/>
      <c r="E3" s="8"/>
      <c r="F3" s="8"/>
      <c r="M3" s="9"/>
    </row>
    <row r="4" spans="1:14" s="1" customFormat="1" ht="26.25" customHeight="1" x14ac:dyDescent="0.25">
      <c r="A4" s="10" t="s">
        <v>423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5"/>
    </row>
    <row r="5" spans="1:14" s="1" customFormat="1" ht="21.75" x14ac:dyDescent="0.25">
      <c r="A5" s="10" t="s">
        <v>313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3"/>
    </row>
    <row r="6" spans="1:14" s="1" customFormat="1" ht="21.75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4" ht="12.75" x14ac:dyDescent="0.2">
      <c r="D7" s="12"/>
      <c r="E7" s="12"/>
    </row>
    <row r="8" spans="1:14" ht="64.5" customHeight="1" x14ac:dyDescent="0.2">
      <c r="A8" s="13" t="s">
        <v>305</v>
      </c>
      <c r="B8" s="14" t="s">
        <v>299</v>
      </c>
      <c r="C8" s="14" t="s">
        <v>306</v>
      </c>
      <c r="D8" s="13" t="s">
        <v>307</v>
      </c>
      <c r="E8" s="15" t="s">
        <v>308</v>
      </c>
      <c r="F8" s="15" t="s">
        <v>309</v>
      </c>
      <c r="G8" s="15" t="s">
        <v>310</v>
      </c>
      <c r="H8" s="15" t="s">
        <v>0</v>
      </c>
      <c r="I8" s="16" t="s">
        <v>1</v>
      </c>
      <c r="J8" s="15" t="s">
        <v>2</v>
      </c>
      <c r="K8" s="16" t="s">
        <v>3</v>
      </c>
      <c r="L8" s="13" t="s">
        <v>4</v>
      </c>
      <c r="M8" s="13" t="s">
        <v>5</v>
      </c>
      <c r="N8" s="13" t="s">
        <v>311</v>
      </c>
    </row>
    <row r="9" spans="1:14" ht="15.75" customHeight="1" x14ac:dyDescent="0.25">
      <c r="A9" s="26">
        <v>1</v>
      </c>
      <c r="B9" s="18" t="s">
        <v>290</v>
      </c>
      <c r="C9" s="27" t="s">
        <v>291</v>
      </c>
      <c r="D9" s="28" t="s">
        <v>65</v>
      </c>
      <c r="E9" s="19">
        <v>7.54</v>
      </c>
      <c r="F9" s="19" t="s">
        <v>241</v>
      </c>
      <c r="G9" s="19" t="s">
        <v>201</v>
      </c>
      <c r="H9" s="19" t="s">
        <v>201</v>
      </c>
      <c r="I9" s="20">
        <v>1170000</v>
      </c>
      <c r="J9" s="19">
        <v>3.5</v>
      </c>
      <c r="K9" s="20">
        <v>4095000</v>
      </c>
      <c r="L9" s="19" t="s">
        <v>314</v>
      </c>
      <c r="M9" s="19" t="s">
        <v>315</v>
      </c>
      <c r="N9" s="19" t="s">
        <v>316</v>
      </c>
    </row>
    <row r="10" spans="1:14" ht="15.75" customHeight="1" x14ac:dyDescent="0.25">
      <c r="A10" s="26">
        <v>2</v>
      </c>
      <c r="B10" s="18" t="s">
        <v>149</v>
      </c>
      <c r="C10" s="27" t="s">
        <v>150</v>
      </c>
      <c r="D10" s="28" t="s">
        <v>38</v>
      </c>
      <c r="E10" s="19">
        <v>8.18</v>
      </c>
      <c r="F10" s="19" t="s">
        <v>23</v>
      </c>
      <c r="G10" s="19" t="s">
        <v>22</v>
      </c>
      <c r="H10" s="19" t="s">
        <v>23</v>
      </c>
      <c r="I10" s="20">
        <v>1280000</v>
      </c>
      <c r="J10" s="19">
        <v>3.5</v>
      </c>
      <c r="K10" s="20">
        <v>4480000</v>
      </c>
      <c r="L10" s="19" t="s">
        <v>317</v>
      </c>
      <c r="M10" s="19" t="s">
        <v>318</v>
      </c>
      <c r="N10" s="19" t="s">
        <v>319</v>
      </c>
    </row>
    <row r="11" spans="1:14" ht="15.75" customHeight="1" x14ac:dyDescent="0.25">
      <c r="A11" s="26">
        <v>3</v>
      </c>
      <c r="B11" s="18" t="s">
        <v>242</v>
      </c>
      <c r="C11" s="27" t="s">
        <v>243</v>
      </c>
      <c r="D11" s="28" t="s">
        <v>28</v>
      </c>
      <c r="E11" s="19">
        <v>7.93</v>
      </c>
      <c r="F11" s="19" t="s">
        <v>241</v>
      </c>
      <c r="G11" s="19" t="s">
        <v>22</v>
      </c>
      <c r="H11" s="19" t="s">
        <v>201</v>
      </c>
      <c r="I11" s="20">
        <v>1170000</v>
      </c>
      <c r="J11" s="19">
        <v>3.5</v>
      </c>
      <c r="K11" s="20">
        <v>4095000</v>
      </c>
      <c r="L11" s="19" t="s">
        <v>320</v>
      </c>
      <c r="M11" s="19" t="s">
        <v>321</v>
      </c>
      <c r="N11" s="19" t="s">
        <v>322</v>
      </c>
    </row>
    <row r="12" spans="1:14" ht="15.75" customHeight="1" x14ac:dyDescent="0.25">
      <c r="A12" s="26">
        <v>4</v>
      </c>
      <c r="B12" s="18" t="s">
        <v>169</v>
      </c>
      <c r="C12" s="27" t="s">
        <v>170</v>
      </c>
      <c r="D12" s="28" t="s">
        <v>171</v>
      </c>
      <c r="E12" s="19">
        <v>8.07</v>
      </c>
      <c r="F12" s="19" t="s">
        <v>23</v>
      </c>
      <c r="G12" s="19" t="s">
        <v>22</v>
      </c>
      <c r="H12" s="19" t="s">
        <v>23</v>
      </c>
      <c r="I12" s="20">
        <v>1280000</v>
      </c>
      <c r="J12" s="19">
        <v>3.5</v>
      </c>
      <c r="K12" s="20">
        <v>4480000</v>
      </c>
      <c r="L12" s="19" t="s">
        <v>323</v>
      </c>
      <c r="M12" s="19" t="s">
        <v>324</v>
      </c>
      <c r="N12" s="19" t="s">
        <v>325</v>
      </c>
    </row>
    <row r="13" spans="1:14" ht="15.75" customHeight="1" x14ac:dyDescent="0.25">
      <c r="A13" s="26">
        <v>5</v>
      </c>
      <c r="B13" s="18" t="s">
        <v>109</v>
      </c>
      <c r="C13" s="27" t="s">
        <v>110</v>
      </c>
      <c r="D13" s="28" t="s">
        <v>25</v>
      </c>
      <c r="E13" s="19">
        <v>8.36</v>
      </c>
      <c r="F13" s="19" t="s">
        <v>23</v>
      </c>
      <c r="G13" s="19" t="s">
        <v>22</v>
      </c>
      <c r="H13" s="19" t="s">
        <v>23</v>
      </c>
      <c r="I13" s="20">
        <v>1280000</v>
      </c>
      <c r="J13" s="19">
        <v>3.5</v>
      </c>
      <c r="K13" s="20">
        <v>4480000</v>
      </c>
      <c r="L13" s="19" t="s">
        <v>326</v>
      </c>
      <c r="M13" s="19" t="s">
        <v>327</v>
      </c>
      <c r="N13" s="19" t="s">
        <v>328</v>
      </c>
    </row>
    <row r="14" spans="1:14" ht="15.75" customHeight="1" x14ac:dyDescent="0.25">
      <c r="A14" s="26">
        <v>6</v>
      </c>
      <c r="B14" s="18" t="s">
        <v>273</v>
      </c>
      <c r="C14" s="27" t="s">
        <v>274</v>
      </c>
      <c r="D14" s="28" t="s">
        <v>21</v>
      </c>
      <c r="E14" s="19">
        <v>7.64</v>
      </c>
      <c r="F14" s="19" t="s">
        <v>241</v>
      </c>
      <c r="G14" s="19" t="s">
        <v>9</v>
      </c>
      <c r="H14" s="19" t="s">
        <v>201</v>
      </c>
      <c r="I14" s="20">
        <v>1170000</v>
      </c>
      <c r="J14" s="19">
        <v>3.5</v>
      </c>
      <c r="K14" s="20">
        <v>4095000</v>
      </c>
      <c r="L14" s="19" t="s">
        <v>329</v>
      </c>
      <c r="M14" s="19" t="s">
        <v>330</v>
      </c>
      <c r="N14" s="19" t="s">
        <v>316</v>
      </c>
    </row>
    <row r="15" spans="1:14" ht="15.75" customHeight="1" x14ac:dyDescent="0.25">
      <c r="A15" s="26">
        <v>7</v>
      </c>
      <c r="B15" s="18" t="s">
        <v>80</v>
      </c>
      <c r="C15" s="27" t="s">
        <v>81</v>
      </c>
      <c r="D15" s="28" t="s">
        <v>82</v>
      </c>
      <c r="E15" s="19">
        <v>8.68</v>
      </c>
      <c r="F15" s="19" t="s">
        <v>23</v>
      </c>
      <c r="G15" s="19" t="s">
        <v>22</v>
      </c>
      <c r="H15" s="19" t="s">
        <v>23</v>
      </c>
      <c r="I15" s="20">
        <v>1280000</v>
      </c>
      <c r="J15" s="19">
        <v>3.5</v>
      </c>
      <c r="K15" s="20">
        <v>4480000</v>
      </c>
      <c r="L15" s="19" t="s">
        <v>331</v>
      </c>
      <c r="M15" s="19" t="s">
        <v>332</v>
      </c>
      <c r="N15" s="19" t="s">
        <v>316</v>
      </c>
    </row>
    <row r="16" spans="1:14" ht="15.75" customHeight="1" x14ac:dyDescent="0.25">
      <c r="A16" s="26">
        <v>8</v>
      </c>
      <c r="B16" s="18" t="s">
        <v>263</v>
      </c>
      <c r="C16" s="27" t="s">
        <v>264</v>
      </c>
      <c r="D16" s="28" t="s">
        <v>108</v>
      </c>
      <c r="E16" s="19">
        <v>7.79</v>
      </c>
      <c r="F16" s="19" t="s">
        <v>241</v>
      </c>
      <c r="G16" s="19" t="s">
        <v>9</v>
      </c>
      <c r="H16" s="19" t="s">
        <v>201</v>
      </c>
      <c r="I16" s="20">
        <v>1170000</v>
      </c>
      <c r="J16" s="19">
        <v>3.5</v>
      </c>
      <c r="K16" s="20">
        <v>4095000</v>
      </c>
      <c r="L16" s="19" t="s">
        <v>333</v>
      </c>
      <c r="M16" s="19" t="s">
        <v>334</v>
      </c>
      <c r="N16" s="19" t="s">
        <v>316</v>
      </c>
    </row>
    <row r="17" spans="1:14" ht="15.75" customHeight="1" x14ac:dyDescent="0.25">
      <c r="A17" s="26">
        <v>9</v>
      </c>
      <c r="B17" s="18" t="s">
        <v>277</v>
      </c>
      <c r="C17" s="27" t="s">
        <v>278</v>
      </c>
      <c r="D17" s="28" t="s">
        <v>61</v>
      </c>
      <c r="E17" s="19">
        <v>7.61</v>
      </c>
      <c r="F17" s="19" t="s">
        <v>241</v>
      </c>
      <c r="G17" s="19" t="s">
        <v>9</v>
      </c>
      <c r="H17" s="19" t="s">
        <v>201</v>
      </c>
      <c r="I17" s="20">
        <v>1170000</v>
      </c>
      <c r="J17" s="19">
        <v>3.5</v>
      </c>
      <c r="K17" s="20">
        <v>4095000</v>
      </c>
      <c r="L17" s="19"/>
      <c r="M17" s="19"/>
      <c r="N17" s="19"/>
    </row>
    <row r="18" spans="1:14" ht="15.75" customHeight="1" x14ac:dyDescent="0.25">
      <c r="A18" s="26">
        <v>10</v>
      </c>
      <c r="B18" s="18" t="s">
        <v>151</v>
      </c>
      <c r="C18" s="27" t="s">
        <v>152</v>
      </c>
      <c r="D18" s="28" t="s">
        <v>51</v>
      </c>
      <c r="E18" s="19">
        <v>8.18</v>
      </c>
      <c r="F18" s="19" t="s">
        <v>23</v>
      </c>
      <c r="G18" s="19" t="s">
        <v>9</v>
      </c>
      <c r="H18" s="19" t="s">
        <v>23</v>
      </c>
      <c r="I18" s="20">
        <v>1280000</v>
      </c>
      <c r="J18" s="19">
        <v>3.5</v>
      </c>
      <c r="K18" s="20">
        <v>4480000</v>
      </c>
      <c r="L18" s="19" t="s">
        <v>335</v>
      </c>
      <c r="M18" s="19" t="s">
        <v>336</v>
      </c>
      <c r="N18" s="19" t="s">
        <v>337</v>
      </c>
    </row>
    <row r="19" spans="1:14" ht="15.75" customHeight="1" x14ac:dyDescent="0.25">
      <c r="A19" s="26">
        <v>11</v>
      </c>
      <c r="B19" s="18" t="s">
        <v>159</v>
      </c>
      <c r="C19" s="27" t="s">
        <v>160</v>
      </c>
      <c r="D19" s="28" t="s">
        <v>34</v>
      </c>
      <c r="E19" s="19">
        <v>8.14</v>
      </c>
      <c r="F19" s="19" t="s">
        <v>23</v>
      </c>
      <c r="G19" s="19" t="s">
        <v>22</v>
      </c>
      <c r="H19" s="19" t="s">
        <v>23</v>
      </c>
      <c r="I19" s="20">
        <v>1280000</v>
      </c>
      <c r="J19" s="19">
        <v>3.5</v>
      </c>
      <c r="K19" s="20">
        <v>4480000</v>
      </c>
      <c r="L19" s="19" t="s">
        <v>338</v>
      </c>
      <c r="M19" s="19" t="s">
        <v>339</v>
      </c>
      <c r="N19" s="19" t="s">
        <v>340</v>
      </c>
    </row>
    <row r="20" spans="1:14" ht="15.75" customHeight="1" x14ac:dyDescent="0.25">
      <c r="A20" s="26">
        <v>12</v>
      </c>
      <c r="B20" s="18" t="s">
        <v>292</v>
      </c>
      <c r="C20" s="27" t="s">
        <v>293</v>
      </c>
      <c r="D20" s="28" t="s">
        <v>34</v>
      </c>
      <c r="E20" s="19">
        <v>7.54</v>
      </c>
      <c r="F20" s="19" t="s">
        <v>241</v>
      </c>
      <c r="G20" s="19" t="s">
        <v>22</v>
      </c>
      <c r="H20" s="19" t="s">
        <v>201</v>
      </c>
      <c r="I20" s="20">
        <v>1170000</v>
      </c>
      <c r="J20" s="19">
        <v>3.5</v>
      </c>
      <c r="K20" s="20">
        <v>4095000</v>
      </c>
      <c r="L20" s="19" t="s">
        <v>341</v>
      </c>
      <c r="M20" s="19" t="s">
        <v>342</v>
      </c>
      <c r="N20" s="19" t="s">
        <v>343</v>
      </c>
    </row>
    <row r="21" spans="1:14" ht="15.75" customHeight="1" x14ac:dyDescent="0.25">
      <c r="A21" s="26">
        <v>13</v>
      </c>
      <c r="B21" s="18" t="s">
        <v>279</v>
      </c>
      <c r="C21" s="27" t="s">
        <v>280</v>
      </c>
      <c r="D21" s="28" t="s">
        <v>98</v>
      </c>
      <c r="E21" s="19">
        <v>7.61</v>
      </c>
      <c r="F21" s="19" t="s">
        <v>241</v>
      </c>
      <c r="G21" s="19" t="s">
        <v>201</v>
      </c>
      <c r="H21" s="19" t="s">
        <v>201</v>
      </c>
      <c r="I21" s="20">
        <v>1170000</v>
      </c>
      <c r="J21" s="19">
        <v>3.5</v>
      </c>
      <c r="K21" s="20">
        <v>4095000</v>
      </c>
      <c r="L21" s="19" t="s">
        <v>344</v>
      </c>
      <c r="M21" s="19" t="s">
        <v>345</v>
      </c>
      <c r="N21" s="19" t="s">
        <v>346</v>
      </c>
    </row>
    <row r="22" spans="1:14" ht="15.75" customHeight="1" x14ac:dyDescent="0.25">
      <c r="A22" s="26">
        <v>14</v>
      </c>
      <c r="B22" s="18" t="s">
        <v>144</v>
      </c>
      <c r="C22" s="27" t="s">
        <v>145</v>
      </c>
      <c r="D22" s="28" t="s">
        <v>36</v>
      </c>
      <c r="E22" s="19">
        <v>8.2100000000000009</v>
      </c>
      <c r="F22" s="19" t="s">
        <v>23</v>
      </c>
      <c r="G22" s="19" t="s">
        <v>22</v>
      </c>
      <c r="H22" s="19" t="s">
        <v>23</v>
      </c>
      <c r="I22" s="20">
        <v>1280000</v>
      </c>
      <c r="J22" s="19">
        <v>3.5</v>
      </c>
      <c r="K22" s="20">
        <v>4480000</v>
      </c>
      <c r="L22" s="19" t="s">
        <v>347</v>
      </c>
      <c r="M22" s="19" t="s">
        <v>348</v>
      </c>
      <c r="N22" s="19" t="s">
        <v>316</v>
      </c>
    </row>
    <row r="23" spans="1:14" ht="15.75" customHeight="1" x14ac:dyDescent="0.25">
      <c r="A23" s="26">
        <v>15</v>
      </c>
      <c r="B23" s="18" t="s">
        <v>254</v>
      </c>
      <c r="C23" s="27" t="s">
        <v>255</v>
      </c>
      <c r="D23" s="28" t="s">
        <v>25</v>
      </c>
      <c r="E23" s="19">
        <v>7.86</v>
      </c>
      <c r="F23" s="19" t="s">
        <v>241</v>
      </c>
      <c r="G23" s="19" t="s">
        <v>9</v>
      </c>
      <c r="H23" s="19" t="s">
        <v>201</v>
      </c>
      <c r="I23" s="20">
        <v>1170000</v>
      </c>
      <c r="J23" s="19">
        <v>3.5</v>
      </c>
      <c r="K23" s="20">
        <v>4095000</v>
      </c>
      <c r="L23" s="19" t="s">
        <v>349</v>
      </c>
      <c r="M23" s="19" t="s">
        <v>350</v>
      </c>
      <c r="N23" s="19" t="s">
        <v>351</v>
      </c>
    </row>
    <row r="24" spans="1:14" ht="15.75" customHeight="1" x14ac:dyDescent="0.25">
      <c r="A24" s="26">
        <v>16</v>
      </c>
      <c r="B24" s="18" t="s">
        <v>195</v>
      </c>
      <c r="C24" s="27" t="s">
        <v>11</v>
      </c>
      <c r="D24" s="28" t="s">
        <v>92</v>
      </c>
      <c r="E24" s="19">
        <v>8</v>
      </c>
      <c r="F24" s="19" t="s">
        <v>23</v>
      </c>
      <c r="G24" s="19" t="s">
        <v>9</v>
      </c>
      <c r="H24" s="19" t="s">
        <v>23</v>
      </c>
      <c r="I24" s="20">
        <v>1280000</v>
      </c>
      <c r="J24" s="19">
        <v>3.5</v>
      </c>
      <c r="K24" s="20">
        <v>4480000</v>
      </c>
      <c r="L24" s="19" t="s">
        <v>352</v>
      </c>
      <c r="M24" s="19" t="s">
        <v>353</v>
      </c>
      <c r="N24" s="19" t="s">
        <v>316</v>
      </c>
    </row>
    <row r="25" spans="1:14" ht="15.75" customHeight="1" x14ac:dyDescent="0.25">
      <c r="A25" s="26">
        <v>17</v>
      </c>
      <c r="B25" s="18" t="s">
        <v>271</v>
      </c>
      <c r="C25" s="27" t="s">
        <v>272</v>
      </c>
      <c r="D25" s="28" t="s">
        <v>141</v>
      </c>
      <c r="E25" s="19">
        <v>7.68</v>
      </c>
      <c r="F25" s="19" t="s">
        <v>241</v>
      </c>
      <c r="G25" s="19" t="s">
        <v>22</v>
      </c>
      <c r="H25" s="19" t="s">
        <v>201</v>
      </c>
      <c r="I25" s="20">
        <v>1170000</v>
      </c>
      <c r="J25" s="19">
        <v>3.5</v>
      </c>
      <c r="K25" s="20">
        <v>4095000</v>
      </c>
      <c r="L25" s="19" t="s">
        <v>354</v>
      </c>
      <c r="M25" s="19" t="s">
        <v>355</v>
      </c>
      <c r="N25" s="19" t="s">
        <v>316</v>
      </c>
    </row>
    <row r="26" spans="1:14" ht="15.75" customHeight="1" x14ac:dyDescent="0.25">
      <c r="A26" s="26">
        <v>18</v>
      </c>
      <c r="B26" s="18" t="s">
        <v>259</v>
      </c>
      <c r="C26" s="27" t="s">
        <v>213</v>
      </c>
      <c r="D26" s="28" t="s">
        <v>58</v>
      </c>
      <c r="E26" s="19">
        <v>7.82</v>
      </c>
      <c r="F26" s="19" t="s">
        <v>241</v>
      </c>
      <c r="G26" s="19" t="s">
        <v>9</v>
      </c>
      <c r="H26" s="19" t="s">
        <v>201</v>
      </c>
      <c r="I26" s="20">
        <v>1170000</v>
      </c>
      <c r="J26" s="19">
        <v>3.5</v>
      </c>
      <c r="K26" s="20">
        <v>4095000</v>
      </c>
      <c r="L26" s="19" t="s">
        <v>356</v>
      </c>
      <c r="M26" s="19" t="s">
        <v>357</v>
      </c>
      <c r="N26" s="19" t="s">
        <v>316</v>
      </c>
    </row>
    <row r="27" spans="1:14" ht="15.75" customHeight="1" x14ac:dyDescent="0.25">
      <c r="A27" s="26">
        <v>19</v>
      </c>
      <c r="B27" s="18" t="s">
        <v>256</v>
      </c>
      <c r="C27" s="27" t="s">
        <v>257</v>
      </c>
      <c r="D27" s="28" t="s">
        <v>258</v>
      </c>
      <c r="E27" s="19">
        <v>7.86</v>
      </c>
      <c r="F27" s="19" t="s">
        <v>241</v>
      </c>
      <c r="G27" s="19" t="s">
        <v>9</v>
      </c>
      <c r="H27" s="19" t="s">
        <v>201</v>
      </c>
      <c r="I27" s="20">
        <v>1170000</v>
      </c>
      <c r="J27" s="19">
        <v>3.5</v>
      </c>
      <c r="K27" s="20">
        <v>4095000</v>
      </c>
      <c r="L27" s="19" t="s">
        <v>358</v>
      </c>
      <c r="M27" s="19" t="s">
        <v>359</v>
      </c>
      <c r="N27" s="19" t="s">
        <v>316</v>
      </c>
    </row>
    <row r="28" spans="1:14" ht="15.75" customHeight="1" x14ac:dyDescent="0.25">
      <c r="A28" s="26">
        <v>20</v>
      </c>
      <c r="B28" s="18" t="s">
        <v>235</v>
      </c>
      <c r="C28" s="27" t="s">
        <v>236</v>
      </c>
      <c r="D28" s="28" t="s">
        <v>231</v>
      </c>
      <c r="E28" s="19">
        <v>8.0399999999999991</v>
      </c>
      <c r="F28" s="19" t="s">
        <v>23</v>
      </c>
      <c r="G28" s="19" t="s">
        <v>201</v>
      </c>
      <c r="H28" s="19" t="s">
        <v>201</v>
      </c>
      <c r="I28" s="20">
        <v>1170000</v>
      </c>
      <c r="J28" s="19">
        <v>3.5</v>
      </c>
      <c r="K28" s="20">
        <v>4095000</v>
      </c>
      <c r="L28" s="19" t="s">
        <v>360</v>
      </c>
      <c r="M28" s="19" t="s">
        <v>361</v>
      </c>
      <c r="N28" s="19" t="s">
        <v>362</v>
      </c>
    </row>
    <row r="29" spans="1:14" ht="15.75" customHeight="1" x14ac:dyDescent="0.25">
      <c r="A29" s="26">
        <v>21</v>
      </c>
      <c r="B29" s="18" t="s">
        <v>275</v>
      </c>
      <c r="C29" s="27" t="s">
        <v>276</v>
      </c>
      <c r="D29" s="28" t="s">
        <v>49</v>
      </c>
      <c r="E29" s="19">
        <v>7.64</v>
      </c>
      <c r="F29" s="19" t="s">
        <v>241</v>
      </c>
      <c r="G29" s="19" t="s">
        <v>9</v>
      </c>
      <c r="H29" s="19" t="s">
        <v>201</v>
      </c>
      <c r="I29" s="20">
        <v>1170000</v>
      </c>
      <c r="J29" s="19">
        <v>3.5</v>
      </c>
      <c r="K29" s="20">
        <v>4095000</v>
      </c>
      <c r="L29" s="19" t="s">
        <v>363</v>
      </c>
      <c r="M29" s="19" t="s">
        <v>364</v>
      </c>
      <c r="N29" s="19" t="s">
        <v>365</v>
      </c>
    </row>
    <row r="30" spans="1:14" ht="15.75" customHeight="1" x14ac:dyDescent="0.25">
      <c r="A30" s="26">
        <v>22</v>
      </c>
      <c r="B30" s="18" t="s">
        <v>177</v>
      </c>
      <c r="C30" s="27" t="s">
        <v>178</v>
      </c>
      <c r="D30" s="28" t="s">
        <v>121</v>
      </c>
      <c r="E30" s="19">
        <v>8.0399999999999991</v>
      </c>
      <c r="F30" s="19" t="s">
        <v>23</v>
      </c>
      <c r="G30" s="19" t="s">
        <v>22</v>
      </c>
      <c r="H30" s="19" t="s">
        <v>23</v>
      </c>
      <c r="I30" s="20">
        <v>1280000</v>
      </c>
      <c r="J30" s="19">
        <v>3.5</v>
      </c>
      <c r="K30" s="20">
        <v>4480000</v>
      </c>
      <c r="L30" s="19" t="s">
        <v>366</v>
      </c>
      <c r="M30" s="19" t="s">
        <v>367</v>
      </c>
      <c r="N30" s="19" t="s">
        <v>316</v>
      </c>
    </row>
    <row r="31" spans="1:14" ht="16.5" x14ac:dyDescent="0.25">
      <c r="A31" s="26">
        <v>23</v>
      </c>
      <c r="B31" s="18" t="s">
        <v>174</v>
      </c>
      <c r="C31" s="27" t="s">
        <v>175</v>
      </c>
      <c r="D31" s="28" t="s">
        <v>176</v>
      </c>
      <c r="E31" s="19">
        <v>8.0500000000000007</v>
      </c>
      <c r="F31" s="19" t="s">
        <v>23</v>
      </c>
      <c r="G31" s="19" t="s">
        <v>9</v>
      </c>
      <c r="H31" s="19" t="s">
        <v>23</v>
      </c>
      <c r="I31" s="20">
        <v>1280000</v>
      </c>
      <c r="J31" s="19">
        <v>3.5</v>
      </c>
      <c r="K31" s="20">
        <v>4480000</v>
      </c>
      <c r="L31" s="19" t="s">
        <v>368</v>
      </c>
      <c r="M31" s="19" t="s">
        <v>369</v>
      </c>
      <c r="N31" s="19" t="s">
        <v>316</v>
      </c>
    </row>
    <row r="32" spans="1:14" ht="16.5" x14ac:dyDescent="0.25">
      <c r="A32" s="26">
        <v>24</v>
      </c>
      <c r="B32" s="18" t="s">
        <v>104</v>
      </c>
      <c r="C32" s="27" t="s">
        <v>105</v>
      </c>
      <c r="D32" s="28" t="s">
        <v>41</v>
      </c>
      <c r="E32" s="19">
        <v>8.41</v>
      </c>
      <c r="F32" s="19" t="s">
        <v>23</v>
      </c>
      <c r="G32" s="19" t="s">
        <v>9</v>
      </c>
      <c r="H32" s="19" t="s">
        <v>23</v>
      </c>
      <c r="I32" s="20">
        <v>1280000</v>
      </c>
      <c r="J32" s="19">
        <v>3.5</v>
      </c>
      <c r="K32" s="20">
        <v>4480000</v>
      </c>
      <c r="L32" s="19" t="s">
        <v>370</v>
      </c>
      <c r="M32" s="19" t="s">
        <v>371</v>
      </c>
      <c r="N32" s="19" t="s">
        <v>316</v>
      </c>
    </row>
    <row r="33" spans="1:14" ht="16.5" x14ac:dyDescent="0.25">
      <c r="A33" s="26">
        <v>25</v>
      </c>
      <c r="B33" s="18" t="s">
        <v>161</v>
      </c>
      <c r="C33" s="27" t="s">
        <v>162</v>
      </c>
      <c r="D33" s="28" t="s">
        <v>163</v>
      </c>
      <c r="E33" s="19">
        <v>8.14</v>
      </c>
      <c r="F33" s="19" t="s">
        <v>23</v>
      </c>
      <c r="G33" s="19" t="s">
        <v>9</v>
      </c>
      <c r="H33" s="19" t="s">
        <v>23</v>
      </c>
      <c r="I33" s="20">
        <v>1280000</v>
      </c>
      <c r="J33" s="19">
        <v>3.5</v>
      </c>
      <c r="K33" s="20">
        <v>4480000</v>
      </c>
      <c r="L33" s="19" t="s">
        <v>372</v>
      </c>
      <c r="M33" s="19" t="s">
        <v>373</v>
      </c>
      <c r="N33" s="19" t="s">
        <v>316</v>
      </c>
    </row>
    <row r="34" spans="1:14" ht="16.5" x14ac:dyDescent="0.25">
      <c r="A34" s="26">
        <v>26</v>
      </c>
      <c r="B34" s="18" t="s">
        <v>166</v>
      </c>
      <c r="C34" s="27" t="s">
        <v>167</v>
      </c>
      <c r="D34" s="28" t="s">
        <v>168</v>
      </c>
      <c r="E34" s="19">
        <v>8.09</v>
      </c>
      <c r="F34" s="19" t="s">
        <v>23</v>
      </c>
      <c r="G34" s="19" t="s">
        <v>22</v>
      </c>
      <c r="H34" s="19" t="s">
        <v>23</v>
      </c>
      <c r="I34" s="20">
        <v>1280000</v>
      </c>
      <c r="J34" s="19">
        <v>3.5</v>
      </c>
      <c r="K34" s="20">
        <v>4480000</v>
      </c>
      <c r="L34" s="19" t="s">
        <v>374</v>
      </c>
      <c r="M34" s="19" t="s">
        <v>375</v>
      </c>
      <c r="N34" s="19" t="s">
        <v>316</v>
      </c>
    </row>
    <row r="35" spans="1:14" ht="16.5" x14ac:dyDescent="0.25">
      <c r="A35" s="26">
        <v>27</v>
      </c>
      <c r="B35" s="18" t="s">
        <v>205</v>
      </c>
      <c r="C35" s="27" t="s">
        <v>206</v>
      </c>
      <c r="D35" s="28" t="s">
        <v>207</v>
      </c>
      <c r="E35" s="19">
        <v>9</v>
      </c>
      <c r="F35" s="19" t="s">
        <v>9</v>
      </c>
      <c r="G35" s="19" t="s">
        <v>201</v>
      </c>
      <c r="H35" s="19" t="s">
        <v>201</v>
      </c>
      <c r="I35" s="20">
        <v>1170000</v>
      </c>
      <c r="J35" s="19">
        <v>3.5</v>
      </c>
      <c r="K35" s="20">
        <v>4095000</v>
      </c>
      <c r="L35" s="19" t="s">
        <v>376</v>
      </c>
      <c r="M35" s="19" t="s">
        <v>377</v>
      </c>
      <c r="N35" s="19" t="s">
        <v>316</v>
      </c>
    </row>
    <row r="36" spans="1:14" ht="16.5" x14ac:dyDescent="0.25">
      <c r="A36" s="26">
        <v>28</v>
      </c>
      <c r="B36" s="18" t="s">
        <v>67</v>
      </c>
      <c r="C36" s="27" t="s">
        <v>68</v>
      </c>
      <c r="D36" s="28" t="s">
        <v>69</v>
      </c>
      <c r="E36" s="19">
        <v>8.77</v>
      </c>
      <c r="F36" s="19" t="s">
        <v>23</v>
      </c>
      <c r="G36" s="19" t="s">
        <v>22</v>
      </c>
      <c r="H36" s="19" t="s">
        <v>23</v>
      </c>
      <c r="I36" s="20">
        <v>1280000</v>
      </c>
      <c r="J36" s="19">
        <v>3.5</v>
      </c>
      <c r="K36" s="20">
        <v>4480000</v>
      </c>
      <c r="L36" s="19" t="s">
        <v>378</v>
      </c>
      <c r="M36" s="19" t="s">
        <v>379</v>
      </c>
      <c r="N36" s="19" t="s">
        <v>316</v>
      </c>
    </row>
    <row r="37" spans="1:14" ht="16.5" x14ac:dyDescent="0.25">
      <c r="A37" s="26">
        <v>29</v>
      </c>
      <c r="B37" s="18" t="s">
        <v>221</v>
      </c>
      <c r="C37" s="27" t="s">
        <v>222</v>
      </c>
      <c r="D37" s="28" t="s">
        <v>108</v>
      </c>
      <c r="E37" s="19">
        <v>8.5</v>
      </c>
      <c r="F37" s="19" t="s">
        <v>23</v>
      </c>
      <c r="G37" s="19" t="s">
        <v>201</v>
      </c>
      <c r="H37" s="19" t="s">
        <v>201</v>
      </c>
      <c r="I37" s="20">
        <v>1170000</v>
      </c>
      <c r="J37" s="19">
        <v>3.5</v>
      </c>
      <c r="K37" s="20">
        <v>4095000</v>
      </c>
      <c r="L37" s="19" t="s">
        <v>380</v>
      </c>
      <c r="M37" s="19" t="s">
        <v>381</v>
      </c>
      <c r="N37" s="19" t="s">
        <v>316</v>
      </c>
    </row>
    <row r="38" spans="1:14" ht="16.5" x14ac:dyDescent="0.25">
      <c r="A38" s="26">
        <v>30</v>
      </c>
      <c r="B38" s="18" t="s">
        <v>111</v>
      </c>
      <c r="C38" s="27" t="s">
        <v>112</v>
      </c>
      <c r="D38" s="28" t="s">
        <v>113</v>
      </c>
      <c r="E38" s="19">
        <v>8.36</v>
      </c>
      <c r="F38" s="19" t="s">
        <v>23</v>
      </c>
      <c r="G38" s="19" t="s">
        <v>22</v>
      </c>
      <c r="H38" s="19" t="s">
        <v>23</v>
      </c>
      <c r="I38" s="20">
        <v>1280000</v>
      </c>
      <c r="J38" s="19">
        <v>3.5</v>
      </c>
      <c r="K38" s="20">
        <v>4480000</v>
      </c>
      <c r="L38" s="19"/>
      <c r="M38" s="19"/>
      <c r="N38" s="19"/>
    </row>
    <row r="39" spans="1:14" ht="16.5" x14ac:dyDescent="0.25">
      <c r="A39" s="26">
        <v>31</v>
      </c>
      <c r="B39" s="18" t="s">
        <v>39</v>
      </c>
      <c r="C39" s="27" t="s">
        <v>40</v>
      </c>
      <c r="D39" s="28" t="s">
        <v>41</v>
      </c>
      <c r="E39" s="19">
        <v>9.0500000000000007</v>
      </c>
      <c r="F39" s="19" t="s">
        <v>9</v>
      </c>
      <c r="G39" s="19" t="s">
        <v>22</v>
      </c>
      <c r="H39" s="19" t="s">
        <v>23</v>
      </c>
      <c r="I39" s="20">
        <v>1280000</v>
      </c>
      <c r="J39" s="19">
        <v>3.5</v>
      </c>
      <c r="K39" s="20">
        <v>4480000</v>
      </c>
      <c r="L39" s="19" t="s">
        <v>382</v>
      </c>
      <c r="M39" s="19" t="s">
        <v>383</v>
      </c>
      <c r="N39" s="19" t="s">
        <v>316</v>
      </c>
    </row>
    <row r="40" spans="1:14" ht="16.5" x14ac:dyDescent="0.25">
      <c r="A40" s="26">
        <v>32</v>
      </c>
      <c r="B40" s="18" t="s">
        <v>208</v>
      </c>
      <c r="C40" s="27" t="s">
        <v>11</v>
      </c>
      <c r="D40" s="28" t="s">
        <v>17</v>
      </c>
      <c r="E40" s="19">
        <v>8.91</v>
      </c>
      <c r="F40" s="19" t="s">
        <v>23</v>
      </c>
      <c r="G40" s="19" t="s">
        <v>201</v>
      </c>
      <c r="H40" s="19" t="s">
        <v>201</v>
      </c>
      <c r="I40" s="20">
        <v>1170000</v>
      </c>
      <c r="J40" s="19">
        <v>3.5</v>
      </c>
      <c r="K40" s="20">
        <v>4095000</v>
      </c>
      <c r="L40" s="19" t="s">
        <v>384</v>
      </c>
      <c r="M40" s="19" t="s">
        <v>385</v>
      </c>
      <c r="N40" s="19" t="s">
        <v>316</v>
      </c>
    </row>
    <row r="41" spans="1:14" ht="16.5" x14ac:dyDescent="0.25">
      <c r="A41" s="26">
        <v>33</v>
      </c>
      <c r="B41" s="18" t="s">
        <v>114</v>
      </c>
      <c r="C41" s="27" t="s">
        <v>115</v>
      </c>
      <c r="D41" s="28" t="s">
        <v>116</v>
      </c>
      <c r="E41" s="19">
        <v>8.36</v>
      </c>
      <c r="F41" s="19" t="s">
        <v>23</v>
      </c>
      <c r="G41" s="19" t="s">
        <v>22</v>
      </c>
      <c r="H41" s="19" t="s">
        <v>23</v>
      </c>
      <c r="I41" s="20">
        <v>1280000</v>
      </c>
      <c r="J41" s="19">
        <v>3.5</v>
      </c>
      <c r="K41" s="20">
        <v>4480000</v>
      </c>
      <c r="L41" s="19" t="s">
        <v>386</v>
      </c>
      <c r="M41" s="19" t="s">
        <v>387</v>
      </c>
      <c r="N41" s="19" t="s">
        <v>316</v>
      </c>
    </row>
    <row r="42" spans="1:14" ht="16.5" x14ac:dyDescent="0.25">
      <c r="A42" s="26">
        <v>34</v>
      </c>
      <c r="B42" s="18" t="s">
        <v>117</v>
      </c>
      <c r="C42" s="27" t="s">
        <v>71</v>
      </c>
      <c r="D42" s="28" t="s">
        <v>118</v>
      </c>
      <c r="E42" s="19">
        <v>8.36</v>
      </c>
      <c r="F42" s="19" t="s">
        <v>23</v>
      </c>
      <c r="G42" s="19" t="s">
        <v>9</v>
      </c>
      <c r="H42" s="19" t="s">
        <v>23</v>
      </c>
      <c r="I42" s="20">
        <v>1280000</v>
      </c>
      <c r="J42" s="19">
        <v>3.5</v>
      </c>
      <c r="K42" s="20">
        <v>4480000</v>
      </c>
      <c r="L42" s="19" t="s">
        <v>388</v>
      </c>
      <c r="M42" s="19" t="s">
        <v>389</v>
      </c>
      <c r="N42" s="19" t="s">
        <v>316</v>
      </c>
    </row>
    <row r="43" spans="1:14" ht="16.5" x14ac:dyDescent="0.25">
      <c r="A43" s="26">
        <v>35</v>
      </c>
      <c r="B43" s="18" t="s">
        <v>86</v>
      </c>
      <c r="C43" s="27" t="s">
        <v>87</v>
      </c>
      <c r="D43" s="28" t="s">
        <v>66</v>
      </c>
      <c r="E43" s="19">
        <v>8.59</v>
      </c>
      <c r="F43" s="19" t="s">
        <v>23</v>
      </c>
      <c r="G43" s="19" t="s">
        <v>9</v>
      </c>
      <c r="H43" s="19" t="s">
        <v>23</v>
      </c>
      <c r="I43" s="20">
        <v>1280000</v>
      </c>
      <c r="J43" s="19">
        <v>3.5</v>
      </c>
      <c r="K43" s="20">
        <v>4480000</v>
      </c>
      <c r="L43" s="19" t="s">
        <v>390</v>
      </c>
      <c r="M43" s="19" t="s">
        <v>391</v>
      </c>
      <c r="N43" s="19" t="s">
        <v>316</v>
      </c>
    </row>
    <row r="44" spans="1:14" ht="16.5" x14ac:dyDescent="0.25">
      <c r="A44" s="26">
        <v>36</v>
      </c>
      <c r="B44" s="18" t="s">
        <v>99</v>
      </c>
      <c r="C44" s="27" t="s">
        <v>100</v>
      </c>
      <c r="D44" s="28" t="s">
        <v>25</v>
      </c>
      <c r="E44" s="19">
        <v>8.4499999999999993</v>
      </c>
      <c r="F44" s="19" t="s">
        <v>23</v>
      </c>
      <c r="G44" s="19" t="s">
        <v>9</v>
      </c>
      <c r="H44" s="19" t="s">
        <v>23</v>
      </c>
      <c r="I44" s="20">
        <v>1280000</v>
      </c>
      <c r="J44" s="19">
        <v>3.5</v>
      </c>
      <c r="K44" s="20">
        <v>4480000</v>
      </c>
      <c r="L44" s="19"/>
      <c r="M44" s="19"/>
      <c r="N44" s="19"/>
    </row>
    <row r="45" spans="1:14" ht="16.5" x14ac:dyDescent="0.25">
      <c r="A45" s="26">
        <v>37</v>
      </c>
      <c r="B45" s="18" t="s">
        <v>142</v>
      </c>
      <c r="C45" s="27" t="s">
        <v>143</v>
      </c>
      <c r="D45" s="28" t="s">
        <v>25</v>
      </c>
      <c r="E45" s="19">
        <v>8.23</v>
      </c>
      <c r="F45" s="19" t="s">
        <v>23</v>
      </c>
      <c r="G45" s="19" t="s">
        <v>22</v>
      </c>
      <c r="H45" s="19" t="s">
        <v>23</v>
      </c>
      <c r="I45" s="20">
        <v>1280000</v>
      </c>
      <c r="J45" s="19">
        <v>3.5</v>
      </c>
      <c r="K45" s="20">
        <v>4480000</v>
      </c>
      <c r="L45" s="19"/>
      <c r="M45" s="19"/>
      <c r="N45" s="19"/>
    </row>
    <row r="46" spans="1:14" ht="16.5" x14ac:dyDescent="0.25">
      <c r="A46" s="26">
        <v>38</v>
      </c>
      <c r="B46" s="18" t="s">
        <v>218</v>
      </c>
      <c r="C46" s="27" t="s">
        <v>219</v>
      </c>
      <c r="D46" s="28" t="s">
        <v>220</v>
      </c>
      <c r="E46" s="19">
        <v>8.64</v>
      </c>
      <c r="F46" s="19" t="s">
        <v>23</v>
      </c>
      <c r="G46" s="19" t="s">
        <v>201</v>
      </c>
      <c r="H46" s="19" t="s">
        <v>201</v>
      </c>
      <c r="I46" s="20">
        <v>1170000</v>
      </c>
      <c r="J46" s="19">
        <v>3.5</v>
      </c>
      <c r="K46" s="20">
        <v>4095000</v>
      </c>
      <c r="L46" s="19" t="s">
        <v>392</v>
      </c>
      <c r="M46" s="19" t="s">
        <v>393</v>
      </c>
      <c r="N46" s="19" t="s">
        <v>316</v>
      </c>
    </row>
    <row r="47" spans="1:14" ht="16.5" x14ac:dyDescent="0.25">
      <c r="A47" s="26">
        <v>39</v>
      </c>
      <c r="B47" s="18" t="s">
        <v>223</v>
      </c>
      <c r="C47" s="27" t="s">
        <v>224</v>
      </c>
      <c r="D47" s="28" t="s">
        <v>220</v>
      </c>
      <c r="E47" s="19">
        <v>8.5</v>
      </c>
      <c r="F47" s="19" t="s">
        <v>23</v>
      </c>
      <c r="G47" s="19" t="s">
        <v>201</v>
      </c>
      <c r="H47" s="19" t="s">
        <v>201</v>
      </c>
      <c r="I47" s="20">
        <v>1170000</v>
      </c>
      <c r="J47" s="19">
        <v>3.5</v>
      </c>
      <c r="K47" s="20">
        <v>4095000</v>
      </c>
      <c r="L47" s="19"/>
      <c r="M47" s="19"/>
      <c r="N47" s="19"/>
    </row>
    <row r="48" spans="1:14" ht="16.5" x14ac:dyDescent="0.25">
      <c r="A48" s="26">
        <v>40</v>
      </c>
      <c r="B48" s="18" t="s">
        <v>52</v>
      </c>
      <c r="C48" s="27" t="s">
        <v>53</v>
      </c>
      <c r="D48" s="28" t="s">
        <v>54</v>
      </c>
      <c r="E48" s="19">
        <v>8.91</v>
      </c>
      <c r="F48" s="19" t="s">
        <v>23</v>
      </c>
      <c r="G48" s="19" t="s">
        <v>22</v>
      </c>
      <c r="H48" s="19" t="s">
        <v>23</v>
      </c>
      <c r="I48" s="20">
        <v>1280000</v>
      </c>
      <c r="J48" s="19">
        <v>3.5</v>
      </c>
      <c r="K48" s="20">
        <v>4480000</v>
      </c>
      <c r="L48" s="19" t="s">
        <v>394</v>
      </c>
      <c r="M48" s="19" t="s">
        <v>395</v>
      </c>
      <c r="N48" s="19" t="s">
        <v>316</v>
      </c>
    </row>
    <row r="49" spans="1:14" ht="16.5" x14ac:dyDescent="0.25">
      <c r="A49" s="26">
        <v>41</v>
      </c>
      <c r="B49" s="18" t="s">
        <v>18</v>
      </c>
      <c r="C49" s="27" t="s">
        <v>19</v>
      </c>
      <c r="D49" s="28" t="s">
        <v>20</v>
      </c>
      <c r="E49" s="19">
        <v>9</v>
      </c>
      <c r="F49" s="19" t="s">
        <v>9</v>
      </c>
      <c r="G49" s="19" t="s">
        <v>9</v>
      </c>
      <c r="H49" s="19" t="s">
        <v>9</v>
      </c>
      <c r="I49" s="20">
        <v>1390000</v>
      </c>
      <c r="J49" s="19">
        <v>3.5</v>
      </c>
      <c r="K49" s="20">
        <v>4865000</v>
      </c>
      <c r="L49" s="19"/>
      <c r="M49" s="19"/>
      <c r="N49" s="19"/>
    </row>
    <row r="50" spans="1:14" ht="16.5" x14ac:dyDescent="0.25">
      <c r="A50" s="26">
        <v>42</v>
      </c>
      <c r="B50" s="18" t="s">
        <v>55</v>
      </c>
      <c r="C50" s="27" t="s">
        <v>56</v>
      </c>
      <c r="D50" s="28" t="s">
        <v>57</v>
      </c>
      <c r="E50" s="19">
        <v>8.91</v>
      </c>
      <c r="F50" s="19" t="s">
        <v>23</v>
      </c>
      <c r="G50" s="19" t="s">
        <v>9</v>
      </c>
      <c r="H50" s="19" t="s">
        <v>23</v>
      </c>
      <c r="I50" s="20">
        <v>1280000</v>
      </c>
      <c r="J50" s="19">
        <v>3.5</v>
      </c>
      <c r="K50" s="20">
        <v>4480000</v>
      </c>
      <c r="L50" s="19" t="s">
        <v>396</v>
      </c>
      <c r="M50" s="19" t="s">
        <v>397</v>
      </c>
      <c r="N50" s="19" t="s">
        <v>316</v>
      </c>
    </row>
    <row r="51" spans="1:14" ht="16.5" x14ac:dyDescent="0.25">
      <c r="A51" s="26">
        <v>43</v>
      </c>
      <c r="B51" s="18" t="s">
        <v>212</v>
      </c>
      <c r="C51" s="27" t="s">
        <v>213</v>
      </c>
      <c r="D51" s="28" t="s">
        <v>214</v>
      </c>
      <c r="E51" s="19">
        <v>8.68</v>
      </c>
      <c r="F51" s="19" t="s">
        <v>23</v>
      </c>
      <c r="G51" s="19" t="s">
        <v>201</v>
      </c>
      <c r="H51" s="19" t="s">
        <v>201</v>
      </c>
      <c r="I51" s="20">
        <v>1170000</v>
      </c>
      <c r="J51" s="19">
        <v>3.5</v>
      </c>
      <c r="K51" s="20">
        <v>4095000</v>
      </c>
      <c r="L51" s="19" t="s">
        <v>398</v>
      </c>
      <c r="M51" s="19" t="s">
        <v>399</v>
      </c>
      <c r="N51" s="19" t="s">
        <v>316</v>
      </c>
    </row>
    <row r="52" spans="1:14" ht="16.5" x14ac:dyDescent="0.25">
      <c r="A52" s="26">
        <v>44</v>
      </c>
      <c r="B52" s="18" t="s">
        <v>42</v>
      </c>
      <c r="C52" s="27" t="s">
        <v>43</v>
      </c>
      <c r="D52" s="28" t="s">
        <v>44</v>
      </c>
      <c r="E52" s="19">
        <v>9.0500000000000007</v>
      </c>
      <c r="F52" s="19" t="s">
        <v>9</v>
      </c>
      <c r="G52" s="19" t="s">
        <v>22</v>
      </c>
      <c r="H52" s="19" t="s">
        <v>23</v>
      </c>
      <c r="I52" s="20">
        <v>1280000</v>
      </c>
      <c r="J52" s="19">
        <v>3.5</v>
      </c>
      <c r="K52" s="20">
        <v>4480000</v>
      </c>
      <c r="L52" s="19" t="s">
        <v>400</v>
      </c>
      <c r="M52" s="19" t="s">
        <v>401</v>
      </c>
      <c r="N52" s="19" t="s">
        <v>316</v>
      </c>
    </row>
    <row r="53" spans="1:14" ht="16.5" x14ac:dyDescent="0.25">
      <c r="A53" s="26">
        <v>45</v>
      </c>
      <c r="B53" s="18" t="s">
        <v>88</v>
      </c>
      <c r="C53" s="27" t="s">
        <v>89</v>
      </c>
      <c r="D53" s="28" t="s">
        <v>38</v>
      </c>
      <c r="E53" s="19">
        <v>8.59</v>
      </c>
      <c r="F53" s="19" t="s">
        <v>23</v>
      </c>
      <c r="G53" s="19" t="s">
        <v>9</v>
      </c>
      <c r="H53" s="19" t="s">
        <v>23</v>
      </c>
      <c r="I53" s="20">
        <v>1280000</v>
      </c>
      <c r="J53" s="19">
        <v>3.5</v>
      </c>
      <c r="K53" s="20">
        <v>4480000</v>
      </c>
      <c r="L53" s="19" t="s">
        <v>402</v>
      </c>
      <c r="M53" s="19" t="s">
        <v>403</v>
      </c>
      <c r="N53" s="19" t="s">
        <v>316</v>
      </c>
    </row>
    <row r="54" spans="1:14" ht="16.5" x14ac:dyDescent="0.25">
      <c r="A54" s="26">
        <v>46</v>
      </c>
      <c r="B54" s="18" t="s">
        <v>136</v>
      </c>
      <c r="C54" s="27" t="s">
        <v>137</v>
      </c>
      <c r="D54" s="28" t="s">
        <v>28</v>
      </c>
      <c r="E54" s="19">
        <v>8.27</v>
      </c>
      <c r="F54" s="19" t="s">
        <v>23</v>
      </c>
      <c r="G54" s="19" t="s">
        <v>22</v>
      </c>
      <c r="H54" s="19" t="s">
        <v>23</v>
      </c>
      <c r="I54" s="20">
        <v>1280000</v>
      </c>
      <c r="J54" s="19">
        <v>3.5</v>
      </c>
      <c r="K54" s="20">
        <v>4480000</v>
      </c>
      <c r="L54" s="19" t="s">
        <v>404</v>
      </c>
      <c r="M54" s="19" t="s">
        <v>405</v>
      </c>
      <c r="N54" s="19" t="s">
        <v>316</v>
      </c>
    </row>
    <row r="55" spans="1:14" ht="16.5" x14ac:dyDescent="0.25">
      <c r="A55" s="26">
        <v>47</v>
      </c>
      <c r="B55" s="18" t="s">
        <v>26</v>
      </c>
      <c r="C55" s="27" t="s">
        <v>27</v>
      </c>
      <c r="D55" s="28" t="s">
        <v>28</v>
      </c>
      <c r="E55" s="19">
        <v>9.18</v>
      </c>
      <c r="F55" s="19" t="s">
        <v>9</v>
      </c>
      <c r="G55" s="19" t="s">
        <v>22</v>
      </c>
      <c r="H55" s="19" t="s">
        <v>23</v>
      </c>
      <c r="I55" s="20">
        <v>1280000</v>
      </c>
      <c r="J55" s="19">
        <v>3.5</v>
      </c>
      <c r="K55" s="20">
        <v>4480000</v>
      </c>
      <c r="L55" s="19" t="s">
        <v>406</v>
      </c>
      <c r="M55" s="19" t="s">
        <v>407</v>
      </c>
      <c r="N55" s="19" t="s">
        <v>408</v>
      </c>
    </row>
    <row r="56" spans="1:14" ht="16.5" x14ac:dyDescent="0.25">
      <c r="A56" s="26">
        <v>48</v>
      </c>
      <c r="B56" s="18" t="s">
        <v>119</v>
      </c>
      <c r="C56" s="27" t="s">
        <v>120</v>
      </c>
      <c r="D56" s="28" t="s">
        <v>121</v>
      </c>
      <c r="E56" s="19">
        <v>8.36</v>
      </c>
      <c r="F56" s="19" t="s">
        <v>23</v>
      </c>
      <c r="G56" s="19" t="s">
        <v>9</v>
      </c>
      <c r="H56" s="19" t="s">
        <v>23</v>
      </c>
      <c r="I56" s="20">
        <v>1280000</v>
      </c>
      <c r="J56" s="19">
        <v>3.5</v>
      </c>
      <c r="K56" s="20">
        <v>4480000</v>
      </c>
      <c r="L56" s="19" t="s">
        <v>409</v>
      </c>
      <c r="M56" s="19" t="s">
        <v>410</v>
      </c>
      <c r="N56" s="19" t="s">
        <v>316</v>
      </c>
    </row>
  </sheetData>
  <sortState ref="B2:Q49">
    <sortCondition ref="B2:B49"/>
    <sortCondition descending="1" ref="E2:E49"/>
  </sortState>
  <mergeCells count="6">
    <mergeCell ref="B1:G1"/>
    <mergeCell ref="I1:N1"/>
    <mergeCell ref="B2:G2"/>
    <mergeCell ref="I2:N2"/>
    <mergeCell ref="A4:N4"/>
    <mergeCell ref="A5:N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30"/>
  <sheetViews>
    <sheetView workbookViewId="0">
      <selection activeCell="G17" sqref="G17"/>
    </sheetView>
  </sheetViews>
  <sheetFormatPr defaultColWidth="14.42578125" defaultRowHeight="15.75" customHeight="1" x14ac:dyDescent="0.2"/>
  <cols>
    <col min="1" max="1" width="5.42578125" bestFit="1" customWidth="1"/>
    <col min="2" max="2" width="14.28515625" customWidth="1"/>
    <col min="3" max="3" width="25.5703125" customWidth="1"/>
    <col min="4" max="4" width="10.7109375" customWidth="1"/>
    <col min="5" max="5" width="10.42578125" customWidth="1"/>
    <col min="6" max="6" width="11.5703125" customWidth="1"/>
    <col min="7" max="7" width="12.85546875" customWidth="1"/>
    <col min="8" max="8" width="12.7109375" customWidth="1"/>
    <col min="9" max="9" width="17.7109375" customWidth="1"/>
    <col min="10" max="10" width="11" customWidth="1"/>
    <col min="11" max="11" width="16.85546875" customWidth="1"/>
    <col min="12" max="12" width="19.140625" customWidth="1"/>
    <col min="13" max="13" width="22.140625" customWidth="1"/>
    <col min="14" max="14" width="29.28515625" customWidth="1"/>
  </cols>
  <sheetData>
    <row r="1" spans="1:14" s="1" customFormat="1" ht="26.25" customHeight="1" x14ac:dyDescent="0.3">
      <c r="B1" s="2" t="s">
        <v>300</v>
      </c>
      <c r="C1" s="2"/>
      <c r="D1" s="2"/>
      <c r="E1" s="2"/>
      <c r="F1" s="3"/>
      <c r="G1" s="3"/>
      <c r="H1" s="4"/>
      <c r="I1" s="2" t="s">
        <v>301</v>
      </c>
      <c r="J1" s="2"/>
      <c r="K1" s="2"/>
      <c r="L1" s="2"/>
      <c r="M1" s="2"/>
      <c r="N1" s="5"/>
    </row>
    <row r="2" spans="1:14" s="1" customFormat="1" ht="26.25" customHeight="1" x14ac:dyDescent="0.3">
      <c r="B2" s="6" t="s">
        <v>302</v>
      </c>
      <c r="C2" s="6"/>
      <c r="D2" s="6"/>
      <c r="E2" s="6"/>
      <c r="F2" s="5"/>
      <c r="G2" s="5"/>
      <c r="H2" s="4"/>
      <c r="I2" s="7" t="s">
        <v>303</v>
      </c>
      <c r="J2" s="7"/>
      <c r="K2" s="7"/>
      <c r="L2" s="7"/>
      <c r="M2" s="7"/>
      <c r="N2" s="5"/>
    </row>
    <row r="3" spans="1:14" s="1" customFormat="1" x14ac:dyDescent="0.25">
      <c r="C3" s="8"/>
      <c r="D3" s="8"/>
      <c r="E3" s="8"/>
      <c r="F3" s="8"/>
      <c r="M3" s="9"/>
    </row>
    <row r="4" spans="1:14" s="1" customFormat="1" ht="26.25" customHeight="1" x14ac:dyDescent="0.25">
      <c r="A4" s="10" t="s">
        <v>411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5"/>
    </row>
    <row r="5" spans="1:14" s="1" customFormat="1" ht="21.75" x14ac:dyDescent="0.25">
      <c r="A5" s="10" t="s">
        <v>304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3"/>
    </row>
    <row r="6" spans="1:14" s="1" customFormat="1" ht="21.75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4" ht="12.75" x14ac:dyDescent="0.2">
      <c r="D7" s="12"/>
      <c r="E7" s="12"/>
    </row>
    <row r="8" spans="1:14" ht="64.5" customHeight="1" x14ac:dyDescent="0.2">
      <c r="A8" s="13" t="s">
        <v>305</v>
      </c>
      <c r="B8" s="14" t="s">
        <v>299</v>
      </c>
      <c r="C8" s="14" t="s">
        <v>306</v>
      </c>
      <c r="D8" s="13" t="s">
        <v>307</v>
      </c>
      <c r="E8" s="15" t="s">
        <v>308</v>
      </c>
      <c r="F8" s="15" t="s">
        <v>309</v>
      </c>
      <c r="G8" s="15" t="s">
        <v>310</v>
      </c>
      <c r="H8" s="15" t="s">
        <v>0</v>
      </c>
      <c r="I8" s="16" t="s">
        <v>1</v>
      </c>
      <c r="J8" s="15" t="s">
        <v>2</v>
      </c>
      <c r="K8" s="16" t="s">
        <v>3</v>
      </c>
      <c r="L8" s="13" t="s">
        <v>4</v>
      </c>
      <c r="M8" s="13" t="s">
        <v>5</v>
      </c>
      <c r="N8" s="13" t="s">
        <v>311</v>
      </c>
    </row>
    <row r="9" spans="1:14" ht="15.75" customHeight="1" x14ac:dyDescent="0.2">
      <c r="A9" s="29">
        <v>1</v>
      </c>
      <c r="B9" s="21" t="s">
        <v>101</v>
      </c>
      <c r="C9" s="24" t="s">
        <v>102</v>
      </c>
      <c r="D9" s="25" t="s">
        <v>8</v>
      </c>
      <c r="E9" s="22">
        <v>8.44</v>
      </c>
      <c r="F9" s="22" t="s">
        <v>23</v>
      </c>
      <c r="G9" s="22" t="s">
        <v>22</v>
      </c>
      <c r="H9" s="22" t="s">
        <v>23</v>
      </c>
      <c r="I9" s="23">
        <v>1280000</v>
      </c>
      <c r="J9" s="22">
        <v>3.5</v>
      </c>
      <c r="K9" s="23">
        <v>4480000</v>
      </c>
      <c r="L9" s="22" t="str">
        <f ca="1">IFERROR(__xludf.DUMMYFUNCTION("vlookup(A9,importrange(""https://docs.google.com/spreadsheets/d/1prlmS4FuM2U4ekyqLwZXLQkkR81TIQ7JPXPcomUjCYg/edit#gid=1822721348"",""Data!B2:E14575""),3,0)"),"079301015314")</f>
        <v>079301015314</v>
      </c>
      <c r="M9" s="22" t="str">
        <f ca="1">IFERROR(__xludf.DUMMYFUNCTION("vlookup(A9,importrange(""https://docs.google.com/spreadsheets/d/1prlmS4FuM2U4ekyqLwZXLQkkR81TIQ7JPXPcomUjCYg/edit#gid=1822721348"",""Data!B2:E14575""),4,0)"),"6380220032417")</f>
        <v>6380220032417</v>
      </c>
      <c r="N9" s="22" t="str">
        <f ca="1">IFERROR(__xludf.DUMMYFUNCTION("vlookup(A9,importrange(""https://docs.google.com/spreadsheets/d/1prlmS4FuM2U4ekyqLwZXLQkkR81TIQ7JPXPcomUjCYg/edit#gid=1822721348"",""Data!B2:14575""),5,0)"),"Agribank - Bình Thạnh")</f>
        <v>Agribank - Bình Thạnh</v>
      </c>
    </row>
    <row r="10" spans="1:14" ht="15.75" customHeight="1" x14ac:dyDescent="0.2">
      <c r="A10" s="29">
        <v>2</v>
      </c>
      <c r="B10" s="21" t="s">
        <v>128</v>
      </c>
      <c r="C10" s="24" t="s">
        <v>129</v>
      </c>
      <c r="D10" s="25" t="s">
        <v>130</v>
      </c>
      <c r="E10" s="22">
        <v>8.31</v>
      </c>
      <c r="F10" s="22" t="s">
        <v>23</v>
      </c>
      <c r="G10" s="22" t="s">
        <v>9</v>
      </c>
      <c r="H10" s="22" t="s">
        <v>23</v>
      </c>
      <c r="I10" s="23">
        <v>1280000</v>
      </c>
      <c r="J10" s="22">
        <v>3.5</v>
      </c>
      <c r="K10" s="23">
        <v>4480000</v>
      </c>
      <c r="L10" s="22" t="str">
        <f ca="1">IFERROR(__xludf.DUMMYFUNCTION("vlookup(A10,importrange(""https://docs.google.com/spreadsheets/d/1prlmS4FuM2U4ekyqLwZXLQkkR81TIQ7JPXPcomUjCYg/edit#gid=1822721348"",""Data!B2:E14575""),3,0)"),"079301018767")</f>
        <v>079301018767</v>
      </c>
      <c r="M10" s="22" t="str">
        <f ca="1">IFERROR(__xludf.DUMMYFUNCTION("vlookup(A10,importrange(""https://docs.google.com/spreadsheets/d/1prlmS4FuM2U4ekyqLwZXLQkkR81TIQ7JPXPcomUjCYg/edit#gid=1822721348"",""Data!B2:E14575""),4,0)"),"6380220020272")</f>
        <v>6380220020272</v>
      </c>
      <c r="N10" s="22" t="str">
        <f ca="1">IFERROR(__xludf.DUMMYFUNCTION("vlookup(A10,importrange(""https://docs.google.com/spreadsheets/d/1prlmS4FuM2U4ekyqLwZXLQkkR81TIQ7JPXPcomUjCYg/edit#gid=1822721348"",""Data!B2:14575""),5,0)"),"Agribank - Bình Thạnh")</f>
        <v>Agribank - Bình Thạnh</v>
      </c>
    </row>
    <row r="11" spans="1:14" ht="15.75" customHeight="1" x14ac:dyDescent="0.2">
      <c r="A11" s="29">
        <v>3</v>
      </c>
      <c r="B11" s="21" t="s">
        <v>148</v>
      </c>
      <c r="C11" s="24" t="s">
        <v>83</v>
      </c>
      <c r="D11" s="25" t="s">
        <v>98</v>
      </c>
      <c r="E11" s="22">
        <v>8.19</v>
      </c>
      <c r="F11" s="22" t="s">
        <v>23</v>
      </c>
      <c r="G11" s="22" t="s">
        <v>22</v>
      </c>
      <c r="H11" s="22" t="s">
        <v>23</v>
      </c>
      <c r="I11" s="23">
        <v>1280000</v>
      </c>
      <c r="J11" s="22">
        <v>3.5</v>
      </c>
      <c r="K11" s="23">
        <v>4480000</v>
      </c>
      <c r="L11" s="22" t="str">
        <f ca="1">IFERROR(__xludf.DUMMYFUNCTION("vlookup(A11,importrange(""https://docs.google.com/spreadsheets/d/1prlmS4FuM2U4ekyqLwZXLQkkR81TIQ7JPXPcomUjCYg/edit#gid=1822721348"",""Data!B2:E14575""),3,0)"),"026024270")</f>
        <v>026024270</v>
      </c>
      <c r="M11" s="22" t="str">
        <f ca="1">IFERROR(__xludf.DUMMYFUNCTION("vlookup(A11,importrange(""https://docs.google.com/spreadsheets/d/1prlmS4FuM2U4ekyqLwZXLQkkR81TIQ7JPXPcomUjCYg/edit#gid=1822721348"",""Data!B2:E14575""),4,0)"),"03078636201")</f>
        <v>03078636201</v>
      </c>
      <c r="N11" s="22" t="str">
        <f ca="1">IFERROR(__xludf.DUMMYFUNCTION("vlookup(A11,importrange(""https://docs.google.com/spreadsheets/d/1prlmS4FuM2U4ekyqLwZXLQkkR81TIQ7JPXPcomUjCYg/edit#gid=1822721348"",""Data!B2:14575""),5,0)"),"TPBank - Phú Mỹ Hưng")</f>
        <v>TPBank - Phú Mỹ Hưng</v>
      </c>
    </row>
    <row r="12" spans="1:14" ht="15.75" customHeight="1" x14ac:dyDescent="0.2">
      <c r="A12" s="29">
        <v>4</v>
      </c>
      <c r="B12" s="21" t="s">
        <v>172</v>
      </c>
      <c r="C12" s="24" t="s">
        <v>173</v>
      </c>
      <c r="D12" s="25" t="s">
        <v>103</v>
      </c>
      <c r="E12" s="22">
        <v>8.06</v>
      </c>
      <c r="F12" s="22" t="s">
        <v>23</v>
      </c>
      <c r="G12" s="22" t="s">
        <v>22</v>
      </c>
      <c r="H12" s="22" t="s">
        <v>23</v>
      </c>
      <c r="I12" s="23">
        <v>1280000</v>
      </c>
      <c r="J12" s="22">
        <v>3.5</v>
      </c>
      <c r="K12" s="23">
        <v>4480000</v>
      </c>
      <c r="L12" s="22" t="str">
        <f ca="1">IFERROR(__xludf.DUMMYFUNCTION("vlookup(A13,importrange(""https://docs.google.com/spreadsheets/d/1prlmS4FuM2U4ekyqLwZXLQkkR81TIQ7JPXPcomUjCYg/edit#gid=1822721348"",""Data!B2:E14575""),3,0)"),"366267904")</f>
        <v>366267904</v>
      </c>
      <c r="M12" s="22" t="str">
        <f ca="1">IFERROR(__xludf.DUMMYFUNCTION("vlookup(A13,importrange(""https://docs.google.com/spreadsheets/d/1prlmS4FuM2U4ekyqLwZXLQkkR81TIQ7JPXPcomUjCYg/edit#gid=1822721348"",""Data!B2:E14575""),4,0)"),"74210000499952")</f>
        <v>74210000499952</v>
      </c>
      <c r="N12" s="22" t="str">
        <f ca="1">IFERROR(__xludf.DUMMYFUNCTION("vlookup(A13,importrange(""https://docs.google.com/spreadsheets/d/1prlmS4FuM2U4ekyqLwZXLQkkR81TIQ7JPXPcomUjCYg/edit#gid=1822721348"",""Data!B2:14575""),5,0)"),"BIDV - Sóc Trăng")</f>
        <v>BIDV - Sóc Trăng</v>
      </c>
    </row>
    <row r="13" spans="1:14" ht="15.75" customHeight="1" x14ac:dyDescent="0.2">
      <c r="A13" s="29">
        <v>5</v>
      </c>
      <c r="B13" s="21" t="s">
        <v>59</v>
      </c>
      <c r="C13" s="24" t="s">
        <v>60</v>
      </c>
      <c r="D13" s="25" t="s">
        <v>28</v>
      </c>
      <c r="E13" s="22">
        <v>8.8800000000000008</v>
      </c>
      <c r="F13" s="22" t="s">
        <v>23</v>
      </c>
      <c r="G13" s="22" t="s">
        <v>9</v>
      </c>
      <c r="H13" s="22" t="s">
        <v>23</v>
      </c>
      <c r="I13" s="23">
        <v>1280000</v>
      </c>
      <c r="J13" s="22">
        <v>3.5</v>
      </c>
      <c r="K13" s="23">
        <v>4480000</v>
      </c>
      <c r="L13" s="22" t="str">
        <f ca="1">IFERROR(__xludf.DUMMYFUNCTION("vlookup(A6,importrange(""https://docs.google.com/spreadsheets/d/1prlmS4FuM2U4ekyqLwZXLQkkR81TIQ7JPXPcomUjCYg/edit#gid=1822721348"",""Data!B2:E14575""),3,0)"),"079301008038")</f>
        <v>079301008038</v>
      </c>
      <c r="M13" s="22" t="str">
        <f ca="1">IFERROR(__xludf.DUMMYFUNCTION("vlookup(A6,importrange(""https://docs.google.com/spreadsheets/d/1prlmS4FuM2U4ekyqLwZXLQkkR81TIQ7JPXPcomUjCYg/edit#gid=1822721348"",""Data!B2:E14575""),4,0)"),"0911000070688")</f>
        <v>0911000070688</v>
      </c>
      <c r="N13" s="22" t="str">
        <f ca="1">IFERROR(__xludf.DUMMYFUNCTION("vlookup(A6,importrange(""https://docs.google.com/spreadsheets/d/1prlmS4FuM2U4ekyqLwZXLQkkR81TIQ7JPXPcomUjCYg/edit#gid=1822721348"",""Data!B2:14575""),5,0)"),"Vietcombank - Tân Sơn Nhất")</f>
        <v>Vietcombank - Tân Sơn Nhất</v>
      </c>
    </row>
    <row r="14" spans="1:14" ht="15.75" customHeight="1" x14ac:dyDescent="0.2">
      <c r="A14" s="29">
        <v>6</v>
      </c>
      <c r="B14" s="21" t="s">
        <v>157</v>
      </c>
      <c r="C14" s="24" t="s">
        <v>158</v>
      </c>
      <c r="D14" s="25" t="s">
        <v>21</v>
      </c>
      <c r="E14" s="22">
        <v>8.15</v>
      </c>
      <c r="F14" s="22" t="s">
        <v>23</v>
      </c>
      <c r="G14" s="22" t="s">
        <v>9</v>
      </c>
      <c r="H14" s="22" t="s">
        <v>23</v>
      </c>
      <c r="I14" s="23">
        <v>1280000</v>
      </c>
      <c r="J14" s="22">
        <v>3.5</v>
      </c>
      <c r="K14" s="23">
        <v>4480000</v>
      </c>
      <c r="L14" s="22" t="str">
        <f ca="1">IFERROR(__xludf.DUMMYFUNCTION("vlookup(A12,importrange(""https://docs.google.com/spreadsheets/d/1prlmS4FuM2U4ekyqLwZXLQkkR81TIQ7JPXPcomUjCYg/edit#gid=1822721348"",""Data!B2:E14575""),3,0)"),"079302020981")</f>
        <v>079302020981</v>
      </c>
      <c r="M14" s="22" t="str">
        <f ca="1">IFERROR(__xludf.DUMMYFUNCTION("vlookup(A12,importrange(""https://docs.google.com/spreadsheets/d/1prlmS4FuM2U4ekyqLwZXLQkkR81TIQ7JPXPcomUjCYg/edit#gid=1822721348"",""Data!B2:E14575""),4,0)"),"6380220065206")</f>
        <v>6380220065206</v>
      </c>
      <c r="N14" s="22" t="str">
        <f ca="1">IFERROR(__xludf.DUMMYFUNCTION("vlookup(A12,importrange(""https://docs.google.com/spreadsheets/d/1prlmS4FuM2U4ekyqLwZXLQkkR81TIQ7JPXPcomUjCYg/edit#gid=1822721348"",""Data!B2:14575""),5,0)"),"Agribank - Bình Thạnh")</f>
        <v>Agribank - Bình Thạnh</v>
      </c>
    </row>
    <row r="15" spans="1:14" ht="15.75" customHeight="1" x14ac:dyDescent="0.2">
      <c r="A15" s="29">
        <v>7</v>
      </c>
      <c r="B15" s="21" t="s">
        <v>265</v>
      </c>
      <c r="C15" s="24" t="s">
        <v>266</v>
      </c>
      <c r="D15" s="25" t="s">
        <v>21</v>
      </c>
      <c r="E15" s="22">
        <v>7.73</v>
      </c>
      <c r="F15" s="22" t="s">
        <v>241</v>
      </c>
      <c r="G15" s="22" t="s">
        <v>201</v>
      </c>
      <c r="H15" s="22" t="s">
        <v>201</v>
      </c>
      <c r="I15" s="23">
        <v>1170000</v>
      </c>
      <c r="J15" s="22">
        <v>3.5</v>
      </c>
      <c r="K15" s="23">
        <v>4095000</v>
      </c>
      <c r="L15" s="22" t="str">
        <f ca="1">IFERROR(__xludf.DUMMYFUNCTION("vlookup(A22,importrange(""https://docs.google.com/spreadsheets/d/1prlmS4FuM2U4ekyqLwZXLQkkR81TIQ7JPXPcomUjCYg/edit#gid=1822721348"",""Data!B2:E14575""),3,0)"),"312487913")</f>
        <v>312487913</v>
      </c>
      <c r="M15" s="22" t="str">
        <f ca="1">IFERROR(__xludf.DUMMYFUNCTION("vlookup(A22,importrange(""https://docs.google.com/spreadsheets/d/1prlmS4FuM2U4ekyqLwZXLQkkR81TIQ7JPXPcomUjCYg/edit#gid=1822721348"",""Data!B2:E14575""),4,0)"),"6380220064039")</f>
        <v>6380220064039</v>
      </c>
      <c r="N15" s="22" t="str">
        <f ca="1">IFERROR(__xludf.DUMMYFUNCTION("vlookup(A22,importrange(""https://docs.google.com/spreadsheets/d/1prlmS4FuM2U4ekyqLwZXLQkkR81TIQ7JPXPcomUjCYg/edit#gid=1822721348"",""Data!B2:14575""),5,0)"),"Agribank - Bình Thạnh")</f>
        <v>Agribank - Bình Thạnh</v>
      </c>
    </row>
    <row r="16" spans="1:14" ht="15.75" customHeight="1" x14ac:dyDescent="0.2">
      <c r="A16" s="29">
        <v>8</v>
      </c>
      <c r="B16" s="21" t="s">
        <v>14</v>
      </c>
      <c r="C16" s="24" t="s">
        <v>15</v>
      </c>
      <c r="D16" s="25" t="s">
        <v>16</v>
      </c>
      <c r="E16" s="22">
        <v>9.15</v>
      </c>
      <c r="F16" s="22" t="s">
        <v>9</v>
      </c>
      <c r="G16" s="22" t="s">
        <v>9</v>
      </c>
      <c r="H16" s="22" t="s">
        <v>9</v>
      </c>
      <c r="I16" s="23">
        <v>1390000</v>
      </c>
      <c r="J16" s="22">
        <v>3.5</v>
      </c>
      <c r="K16" s="23">
        <v>4865000</v>
      </c>
      <c r="L16" s="22" t="str">
        <f ca="1">IFERROR(__xludf.DUMMYFUNCTION("vlookup(A4,importrange(""https://docs.google.com/spreadsheets/d/1prlmS4FuM2U4ekyqLwZXLQkkR81TIQ7JPXPcomUjCYg/edit#gid=1822721348"",""Data!B2:E14575""),3,0)"),"321766087")</f>
        <v>321766087</v>
      </c>
      <c r="M16" s="22" t="str">
        <f ca="1">IFERROR(__xludf.DUMMYFUNCTION("vlookup(A4,importrange(""https://docs.google.com/spreadsheets/d/1prlmS4FuM2U4ekyqLwZXLQkkR81TIQ7JPXPcomUjCYg/edit#gid=1822721348"",""Data!B2:E14575""),4,0)"),"6380220065179")</f>
        <v>6380220065179</v>
      </c>
      <c r="N16" s="22" t="str">
        <f ca="1">IFERROR(__xludf.DUMMYFUNCTION("vlookup(A4,importrange(""https://docs.google.com/spreadsheets/d/1prlmS4FuM2U4ekyqLwZXLQkkR81TIQ7JPXPcomUjCYg/edit#gid=1822721348"",""Data!B2:14575""),5,0)"),"Agribank - Bình Thạnh")</f>
        <v>Agribank - Bình Thạnh</v>
      </c>
    </row>
    <row r="17" spans="1:14" ht="15.75" customHeight="1" x14ac:dyDescent="0.2">
      <c r="A17" s="29">
        <v>9</v>
      </c>
      <c r="B17" s="21" t="s">
        <v>210</v>
      </c>
      <c r="C17" s="24" t="s">
        <v>211</v>
      </c>
      <c r="D17" s="25" t="s">
        <v>96</v>
      </c>
      <c r="E17" s="22">
        <v>8.77</v>
      </c>
      <c r="F17" s="22" t="s">
        <v>23</v>
      </c>
      <c r="G17" s="22" t="s">
        <v>201</v>
      </c>
      <c r="H17" s="22" t="s">
        <v>201</v>
      </c>
      <c r="I17" s="23">
        <v>1170000</v>
      </c>
      <c r="J17" s="22">
        <v>3.5</v>
      </c>
      <c r="K17" s="23">
        <v>4095000</v>
      </c>
      <c r="L17" s="22" t="str">
        <f ca="1">IFERROR(__xludf.DUMMYFUNCTION("vlookup(A15,importrange(""https://docs.google.com/spreadsheets/d/1prlmS4FuM2U4ekyqLwZXLQkkR81TIQ7JPXPcomUjCYg/edit#gid=1822721348"",""Data!B2:E14575""),3,0)"),"089201000090")</f>
        <v>089201000090</v>
      </c>
      <c r="M17" s="22" t="str">
        <f ca="1">IFERROR(__xludf.DUMMYFUNCTION("vlookup(A15,importrange(""https://docs.google.com/spreadsheets/d/1prlmS4FuM2U4ekyqLwZXLQkkR81TIQ7JPXPcomUjCYg/edit#gid=1822721348"",""Data!B2:E14575""),4,0)"),"6380220062670")</f>
        <v>6380220062670</v>
      </c>
      <c r="N17" s="22" t="str">
        <f ca="1">IFERROR(__xludf.DUMMYFUNCTION("vlookup(A15,importrange(""https://docs.google.com/spreadsheets/d/1prlmS4FuM2U4ekyqLwZXLQkkR81TIQ7JPXPcomUjCYg/edit#gid=1822721348"",""Data!B2:14575""),5,0)"),"Agribank - Bình Thạnh")</f>
        <v>Agribank - Bình Thạnh</v>
      </c>
    </row>
    <row r="18" spans="1:14" ht="15.75" customHeight="1" x14ac:dyDescent="0.2">
      <c r="A18" s="29">
        <v>10</v>
      </c>
      <c r="B18" s="21" t="s">
        <v>227</v>
      </c>
      <c r="C18" s="24" t="s">
        <v>228</v>
      </c>
      <c r="D18" s="25" t="s">
        <v>97</v>
      </c>
      <c r="E18" s="22">
        <v>8.19</v>
      </c>
      <c r="F18" s="22" t="s">
        <v>23</v>
      </c>
      <c r="G18" s="22" t="s">
        <v>201</v>
      </c>
      <c r="H18" s="22" t="s">
        <v>201</v>
      </c>
      <c r="I18" s="23">
        <v>1170000</v>
      </c>
      <c r="J18" s="22">
        <v>3.5</v>
      </c>
      <c r="K18" s="23">
        <v>4095000</v>
      </c>
      <c r="L18" s="22" t="str">
        <f ca="1">IFERROR(__xludf.DUMMYFUNCTION("vlookup(A17,importrange(""https://docs.google.com/spreadsheets/d/1prlmS4FuM2U4ekyqLwZXLQkkR81TIQ7JPXPcomUjCYg/edit#gid=1822721348"",""Data!B2:E14575""),3,0)"),"079202011418")</f>
        <v>079202011418</v>
      </c>
      <c r="M18" s="22" t="str">
        <f ca="1">IFERROR(__xludf.DUMMYFUNCTION("vlookup(A17,importrange(""https://docs.google.com/spreadsheets/d/1prlmS4FuM2U4ekyqLwZXLQkkR81TIQ7JPXPcomUjCYg/edit#gid=1822721348"",""Data!B2:E14575""),4,0)"),"6380220060100")</f>
        <v>6380220060100</v>
      </c>
      <c r="N18" s="22" t="str">
        <f ca="1">IFERROR(__xludf.DUMMYFUNCTION("vlookup(A17,importrange(""https://docs.google.com/spreadsheets/d/1prlmS4FuM2U4ekyqLwZXLQkkR81TIQ7JPXPcomUjCYg/edit#gid=1822721348"",""Data!B2:14575""),5,0)"),"Agribank - Bình Thạnh")</f>
        <v>Agribank - Bình Thạnh</v>
      </c>
    </row>
    <row r="19" spans="1:14" ht="15.75" customHeight="1" x14ac:dyDescent="0.2">
      <c r="A19" s="29">
        <v>11</v>
      </c>
      <c r="B19" s="21" t="s">
        <v>225</v>
      </c>
      <c r="C19" s="24" t="s">
        <v>226</v>
      </c>
      <c r="D19" s="25" t="s">
        <v>37</v>
      </c>
      <c r="E19" s="22">
        <v>8.3800000000000008</v>
      </c>
      <c r="F19" s="22" t="s">
        <v>23</v>
      </c>
      <c r="G19" s="22" t="s">
        <v>201</v>
      </c>
      <c r="H19" s="22" t="s">
        <v>201</v>
      </c>
      <c r="I19" s="23">
        <v>1170000</v>
      </c>
      <c r="J19" s="22">
        <v>3.5</v>
      </c>
      <c r="K19" s="23">
        <v>4095000</v>
      </c>
      <c r="L19" s="22" t="str">
        <f ca="1">IFERROR(__xludf.DUMMYFUNCTION("vlookup(A16,importrange(""https://docs.google.com/spreadsheets/d/1prlmS4FuM2U4ekyqLwZXLQkkR81TIQ7JPXPcomUjCYg/edit#gid=1822721348"",""Data!B2:E14575""),3,0)"),"312484097")</f>
        <v>312484097</v>
      </c>
      <c r="M19" s="22" t="str">
        <f ca="1">IFERROR(__xludf.DUMMYFUNCTION("vlookup(A16,importrange(""https://docs.google.com/spreadsheets/d/1prlmS4FuM2U4ekyqLwZXLQkkR81TIQ7JPXPcomUjCYg/edit#gid=1822721348"",""Data!B2:E14575""),4,0)"),"6380220070156")</f>
        <v>6380220070156</v>
      </c>
      <c r="N19" s="22" t="str">
        <f ca="1">IFERROR(__xludf.DUMMYFUNCTION("vlookup(A16,importrange(""https://docs.google.com/spreadsheets/d/1prlmS4FuM2U4ekyqLwZXLQkkR81TIQ7JPXPcomUjCYg/edit#gid=1822721348"",""Data!B2:14575""),5,0)"),"Agribank - Bình Thạnh")</f>
        <v>Agribank - Bình Thạnh</v>
      </c>
    </row>
    <row r="20" spans="1:14" ht="15.75" customHeight="1" x14ac:dyDescent="0.2">
      <c r="A20" s="29">
        <v>12</v>
      </c>
      <c r="B20" s="21" t="s">
        <v>63</v>
      </c>
      <c r="C20" s="24" t="s">
        <v>64</v>
      </c>
      <c r="D20" s="25" t="s">
        <v>65</v>
      </c>
      <c r="E20" s="22">
        <v>8.81</v>
      </c>
      <c r="F20" s="22" t="s">
        <v>23</v>
      </c>
      <c r="G20" s="22" t="s">
        <v>9</v>
      </c>
      <c r="H20" s="22" t="s">
        <v>23</v>
      </c>
      <c r="I20" s="23">
        <v>1280000</v>
      </c>
      <c r="J20" s="22">
        <v>3.5</v>
      </c>
      <c r="K20" s="23">
        <v>4480000</v>
      </c>
      <c r="L20" s="22" t="str">
        <f ca="1">IFERROR(__xludf.DUMMYFUNCTION("vlookup(A7,importrange(""https://docs.google.com/spreadsheets/d/1prlmS4FuM2U4ekyqLwZXLQkkR81TIQ7JPXPcomUjCYg/edit#gid=1822721348"",""Data!B2:E14575""),3,0)"),"075202000131")</f>
        <v>075202000131</v>
      </c>
      <c r="M20" s="22" t="str">
        <f ca="1">IFERROR(__xludf.DUMMYFUNCTION("vlookup(A7,importrange(""https://docs.google.com/spreadsheets/d/1prlmS4FuM2U4ekyqLwZXLQkkR81TIQ7JPXPcomUjCYg/edit#gid=1822721348"",""Data!B2:E14575""),4,0)"),"6380220062424")</f>
        <v>6380220062424</v>
      </c>
      <c r="N20" s="22" t="str">
        <f ca="1">IFERROR(__xludf.DUMMYFUNCTION("vlookup(A7,importrange(""https://docs.google.com/spreadsheets/d/1prlmS4FuM2U4ekyqLwZXLQkkR81TIQ7JPXPcomUjCYg/edit#gid=1822721348"",""Data!B2:14575""),5,0)"),"Agribank - Bình Thạnh")</f>
        <v>Agribank - Bình Thạnh</v>
      </c>
    </row>
    <row r="21" spans="1:14" ht="15.75" customHeight="1" x14ac:dyDescent="0.2">
      <c r="A21" s="29">
        <v>13</v>
      </c>
      <c r="B21" s="21" t="s">
        <v>232</v>
      </c>
      <c r="C21" s="24" t="s">
        <v>64</v>
      </c>
      <c r="D21" s="25" t="s">
        <v>92</v>
      </c>
      <c r="E21" s="22">
        <v>8.08</v>
      </c>
      <c r="F21" s="22" t="s">
        <v>23</v>
      </c>
      <c r="G21" s="22" t="s">
        <v>201</v>
      </c>
      <c r="H21" s="22" t="s">
        <v>201</v>
      </c>
      <c r="I21" s="23">
        <v>1170000</v>
      </c>
      <c r="J21" s="22">
        <v>3.5</v>
      </c>
      <c r="K21" s="23">
        <v>4095000</v>
      </c>
      <c r="L21" s="22" t="str">
        <f ca="1">IFERROR(__xludf.DUMMYFUNCTION("vlookup(A19,importrange(""https://docs.google.com/spreadsheets/d/1prlmS4FuM2U4ekyqLwZXLQkkR81TIQ7JPXPcomUjCYg/edit#gid=1822721348"",""Data!B2:E14575""),3,0)"),"079202031662")</f>
        <v>079202031662</v>
      </c>
      <c r="M21" s="22" t="str">
        <f ca="1">IFERROR(__xludf.DUMMYFUNCTION("vlookup(A19,importrange(""https://docs.google.com/spreadsheets/d/1prlmS4FuM2U4ekyqLwZXLQkkR81TIQ7JPXPcomUjCYg/edit#gid=1822721348"",""Data!B2:E14575""),4,0)"),"6380220076616")</f>
        <v>6380220076616</v>
      </c>
      <c r="N21" s="22" t="str">
        <f ca="1">IFERROR(__xludf.DUMMYFUNCTION("vlookup(A19,importrange(""https://docs.google.com/spreadsheets/d/1prlmS4FuM2U4ekyqLwZXLQkkR81TIQ7JPXPcomUjCYg/edit#gid=1822721348"",""Data!B2:14575""),5,0)"),"Agribank - Bình Thạnh")</f>
        <v>Agribank - Bình Thạnh</v>
      </c>
    </row>
    <row r="22" spans="1:14" ht="15.75" customHeight="1" x14ac:dyDescent="0.2">
      <c r="A22" s="29">
        <v>14</v>
      </c>
      <c r="B22" s="21" t="s">
        <v>6</v>
      </c>
      <c r="C22" s="24" t="s">
        <v>7</v>
      </c>
      <c r="D22" s="25" t="s">
        <v>8</v>
      </c>
      <c r="E22" s="22">
        <v>9.35</v>
      </c>
      <c r="F22" s="22" t="s">
        <v>9</v>
      </c>
      <c r="G22" s="22" t="s">
        <v>9</v>
      </c>
      <c r="H22" s="22" t="s">
        <v>9</v>
      </c>
      <c r="I22" s="23">
        <v>1390000</v>
      </c>
      <c r="J22" s="22">
        <v>3.5</v>
      </c>
      <c r="K22" s="23">
        <v>4865000</v>
      </c>
      <c r="L22" s="22" t="str">
        <f ca="1">IFERROR(__xludf.DUMMYFUNCTION("vlookup(A2,importrange(""https://docs.google.com/spreadsheets/d/1prlmS4FuM2U4ekyqLwZXLQkkR81TIQ7JPXPcomUjCYg/edit#gid=1822721348"",""Data!B2:E14575""),3,0)"),"321617075")</f>
        <v>321617075</v>
      </c>
      <c r="M22" s="22" t="str">
        <f ca="1">IFERROR(__xludf.DUMMYFUNCTION("vlookup(A2,importrange(""https://docs.google.com/spreadsheets/d/1prlmS4FuM2U4ekyqLwZXLQkkR81TIQ7JPXPcomUjCYg/edit#gid=1822721348"",""Data!B2:E14575""),4,0)"),"1015992265")</f>
        <v>1015992265</v>
      </c>
      <c r="N22" s="22" t="str">
        <f ca="1">IFERROR(__xludf.DUMMYFUNCTION("vlookup(A2,importrange(""https://docs.google.com/spreadsheets/d/1prlmS4FuM2U4ekyqLwZXLQkkR81TIQ7JPXPcomUjCYg/edit#gid=1822721348"",""Data!B2:14575""),5,0)"),"Vietcombank - Bến Tre")</f>
        <v>Vietcombank - Bến Tre</v>
      </c>
    </row>
    <row r="23" spans="1:14" ht="15.75" customHeight="1" x14ac:dyDescent="0.2">
      <c r="A23" s="29">
        <v>15</v>
      </c>
      <c r="B23" s="21" t="s">
        <v>196</v>
      </c>
      <c r="C23" s="24" t="s">
        <v>197</v>
      </c>
      <c r="D23" s="25" t="s">
        <v>198</v>
      </c>
      <c r="E23" s="22">
        <v>8</v>
      </c>
      <c r="F23" s="22" t="s">
        <v>23</v>
      </c>
      <c r="G23" s="22" t="s">
        <v>22</v>
      </c>
      <c r="H23" s="22" t="s">
        <v>23</v>
      </c>
      <c r="I23" s="23">
        <v>1280000</v>
      </c>
      <c r="J23" s="22">
        <v>3.5</v>
      </c>
      <c r="K23" s="23">
        <v>4480000</v>
      </c>
      <c r="L23" s="22" t="str">
        <f ca="1">IFERROR(__xludf.DUMMYFUNCTION("vlookup(A14,importrange(""https://docs.google.com/spreadsheets/d/1prlmS4FuM2U4ekyqLwZXLQkkR81TIQ7JPXPcomUjCYg/edit#gid=1822721348"",""Data!B2:E14575""),3,0)"),"321776493")</f>
        <v>321776493</v>
      </c>
      <c r="M23" s="22" t="str">
        <f ca="1">IFERROR(__xludf.DUMMYFUNCTION("vlookup(A14,importrange(""https://docs.google.com/spreadsheets/d/1prlmS4FuM2U4ekyqLwZXLQkkR81TIQ7JPXPcomUjCYg/edit#gid=1822721348"",""Data!B2:E14575""),4,0)"),"7108205410784")</f>
        <v>7108205410784</v>
      </c>
      <c r="N23" s="22" t="str">
        <f ca="1">IFERROR(__xludf.DUMMYFUNCTION("vlookup(A14,importrange(""https://docs.google.com/spreadsheets/d/1prlmS4FuM2U4ekyqLwZXLQkkR81TIQ7JPXPcomUjCYg/edit#gid=1822721348"",""Data!B2:14575""),5,0)"),"Agribank - Bến Tre")</f>
        <v>Agribank - Bến Tre</v>
      </c>
    </row>
    <row r="24" spans="1:14" ht="15.75" customHeight="1" x14ac:dyDescent="0.2">
      <c r="A24" s="29">
        <v>16</v>
      </c>
      <c r="B24" s="21" t="s">
        <v>77</v>
      </c>
      <c r="C24" s="24" t="s">
        <v>78</v>
      </c>
      <c r="D24" s="25" t="s">
        <v>79</v>
      </c>
      <c r="E24" s="22">
        <v>8.69</v>
      </c>
      <c r="F24" s="22" t="s">
        <v>23</v>
      </c>
      <c r="G24" s="22" t="s">
        <v>22</v>
      </c>
      <c r="H24" s="22" t="s">
        <v>23</v>
      </c>
      <c r="I24" s="23">
        <v>1280000</v>
      </c>
      <c r="J24" s="22">
        <v>3.5</v>
      </c>
      <c r="K24" s="23">
        <v>4480000</v>
      </c>
      <c r="L24" s="22" t="str">
        <f ca="1">IFERROR(__xludf.DUMMYFUNCTION("vlookup(A8,importrange(""https://docs.google.com/spreadsheets/d/1prlmS4FuM2U4ekyqLwZXLQkkR81TIQ7JPXPcomUjCYg/edit#gid=1822721348"",""Data!B2:E14575""),3,0)"),"264536287")</f>
        <v>264536287</v>
      </c>
      <c r="M24" s="22" t="str">
        <f ca="1">IFERROR(__xludf.DUMMYFUNCTION("vlookup(A8,importrange(""https://docs.google.com/spreadsheets/d/1prlmS4FuM2U4ekyqLwZXLQkkR81TIQ7JPXPcomUjCYg/edit#gid=1822721348"",""Data!B2:E14575""),4,0)"),"6380220077444")</f>
        <v>6380220077444</v>
      </c>
      <c r="N24" s="22" t="str">
        <f ca="1">IFERROR(__xludf.DUMMYFUNCTION("vlookup(A8,importrange(""https://docs.google.com/spreadsheets/d/1prlmS4FuM2U4ekyqLwZXLQkkR81TIQ7JPXPcomUjCYg/edit#gid=1822721348"",""Data!B2:14575""),5,0)"),"Agribank - Bình Thạnh")</f>
        <v>Agribank - Bình Thạnh</v>
      </c>
    </row>
    <row r="25" spans="1:14" ht="15.75" customHeight="1" x14ac:dyDescent="0.2">
      <c r="A25" s="29">
        <v>17</v>
      </c>
      <c r="B25" s="21" t="s">
        <v>269</v>
      </c>
      <c r="C25" s="24" t="s">
        <v>270</v>
      </c>
      <c r="D25" s="25" t="s">
        <v>58</v>
      </c>
      <c r="E25" s="22">
        <v>7.69</v>
      </c>
      <c r="F25" s="22" t="s">
        <v>241</v>
      </c>
      <c r="G25" s="22" t="s">
        <v>201</v>
      </c>
      <c r="H25" s="22" t="s">
        <v>201</v>
      </c>
      <c r="I25" s="23">
        <v>1170000</v>
      </c>
      <c r="J25" s="22">
        <v>3.5</v>
      </c>
      <c r="K25" s="23">
        <v>4095000</v>
      </c>
      <c r="L25" s="22" t="str">
        <f ca="1">IFERROR(__xludf.DUMMYFUNCTION("vlookup(A23,importrange(""https://docs.google.com/spreadsheets/d/1prlmS4FuM2U4ekyqLwZXLQkkR81TIQ7JPXPcomUjCYg/edit#gid=1822721348"",""Data!B2:E14575""),3,0)"),"079302008156")</f>
        <v>079302008156</v>
      </c>
      <c r="M25" s="22" t="str">
        <f ca="1">IFERROR(__xludf.DUMMYFUNCTION("vlookup(A23,importrange(""https://docs.google.com/spreadsheets/d/1prlmS4FuM2U4ekyqLwZXLQkkR81TIQ7JPXPcomUjCYg/edit#gid=1822721348"",""Data!B2:E14575""),4,0)"),"6380220058088")</f>
        <v>6380220058088</v>
      </c>
      <c r="N25" s="22" t="str">
        <f ca="1">IFERROR(__xludf.DUMMYFUNCTION("vlookup(A23,importrange(""https://docs.google.com/spreadsheets/d/1prlmS4FuM2U4ekyqLwZXLQkkR81TIQ7JPXPcomUjCYg/edit#gid=1822721348"",""Data!B2:14575""),5,0)"),"Agribank - Bình Thạnh")</f>
        <v>Agribank - Bình Thạnh</v>
      </c>
    </row>
    <row r="26" spans="1:14" ht="15.75" customHeight="1" x14ac:dyDescent="0.2">
      <c r="A26" s="29">
        <v>18</v>
      </c>
      <c r="B26" s="21" t="s">
        <v>229</v>
      </c>
      <c r="C26" s="24" t="s">
        <v>230</v>
      </c>
      <c r="D26" s="25" t="s">
        <v>231</v>
      </c>
      <c r="E26" s="22">
        <v>8.15</v>
      </c>
      <c r="F26" s="22" t="s">
        <v>23</v>
      </c>
      <c r="G26" s="22" t="s">
        <v>201</v>
      </c>
      <c r="H26" s="22" t="s">
        <v>201</v>
      </c>
      <c r="I26" s="23">
        <v>1170000</v>
      </c>
      <c r="J26" s="22">
        <v>3.5</v>
      </c>
      <c r="K26" s="23">
        <v>4095000</v>
      </c>
      <c r="L26" s="22" t="str">
        <f ca="1">IFERROR(__xludf.DUMMYFUNCTION("vlookup(A18,importrange(""https://docs.google.com/spreadsheets/d/1prlmS4FuM2U4ekyqLwZXLQkkR81TIQ7JPXPcomUjCYg/edit#gid=1822721348"",""Data!B2:E14575""),3,0)"),"371981892")</f>
        <v>371981892</v>
      </c>
      <c r="M26" s="22" t="str">
        <f ca="1">IFERROR(__xludf.DUMMYFUNCTION("vlookup(A18,importrange(""https://docs.google.com/spreadsheets/d/1prlmS4FuM2U4ekyqLwZXLQkkR81TIQ7JPXPcomUjCYg/edit#gid=1822721348"",""Data!B2:E14575""),4,0)"),"6380220062969")</f>
        <v>6380220062969</v>
      </c>
      <c r="N26" s="22" t="str">
        <f ca="1">IFERROR(__xludf.DUMMYFUNCTION("vlookup(A18,importrange(""https://docs.google.com/spreadsheets/d/1prlmS4FuM2U4ekyqLwZXLQkkR81TIQ7JPXPcomUjCYg/edit#gid=1822721348"",""Data!B2:14575""),5,0)"),"Agribank - Bình Thạnh")</f>
        <v>Agribank - Bình Thạnh</v>
      </c>
    </row>
    <row r="27" spans="1:14" ht="15.75" customHeight="1" x14ac:dyDescent="0.2">
      <c r="A27" s="29">
        <v>19</v>
      </c>
      <c r="B27" s="21" t="s">
        <v>47</v>
      </c>
      <c r="C27" s="24" t="s">
        <v>48</v>
      </c>
      <c r="D27" s="25" t="s">
        <v>49</v>
      </c>
      <c r="E27" s="22">
        <v>9</v>
      </c>
      <c r="F27" s="22" t="s">
        <v>9</v>
      </c>
      <c r="G27" s="22" t="s">
        <v>22</v>
      </c>
      <c r="H27" s="22" t="s">
        <v>23</v>
      </c>
      <c r="I27" s="23">
        <v>1280000</v>
      </c>
      <c r="J27" s="22">
        <v>3.5</v>
      </c>
      <c r="K27" s="23">
        <v>4480000</v>
      </c>
      <c r="L27" s="22" t="str">
        <f ca="1">IFERROR(__xludf.DUMMYFUNCTION("vlookup(A5,importrange(""https://docs.google.com/spreadsheets/d/1prlmS4FuM2U4ekyqLwZXLQkkR81TIQ7JPXPcomUjCYg/edit#gid=1822721348"",""Data!B2:E14575""),3,0)"),"079302031752")</f>
        <v>079302031752</v>
      </c>
      <c r="M27" s="22" t="str">
        <f ca="1">IFERROR(__xludf.DUMMYFUNCTION("vlookup(A5,importrange(""https://docs.google.com/spreadsheets/d/1prlmS4FuM2U4ekyqLwZXLQkkR81TIQ7JPXPcomUjCYg/edit#gid=1822721348"",""Data!B2:E14575""),4,0)"),"6380220059509")</f>
        <v>6380220059509</v>
      </c>
      <c r="N27" s="22" t="str">
        <f ca="1">IFERROR(__xludf.DUMMYFUNCTION("vlookup(A5,importrange(""https://docs.google.com/spreadsheets/d/1prlmS4FuM2U4ekyqLwZXLQkkR81TIQ7JPXPcomUjCYg/edit#gid=1822721348"",""Data!B2:14575""),5,0)"),"Agribank - Bình Thạnh")</f>
        <v>Agribank - Bình Thạnh</v>
      </c>
    </row>
    <row r="28" spans="1:14" ht="15.75" customHeight="1" x14ac:dyDescent="0.2">
      <c r="A28" s="29">
        <v>20</v>
      </c>
      <c r="B28" s="21" t="s">
        <v>237</v>
      </c>
      <c r="C28" s="24" t="s">
        <v>238</v>
      </c>
      <c r="D28" s="25" t="s">
        <v>127</v>
      </c>
      <c r="E28" s="22">
        <v>8.0399999999999991</v>
      </c>
      <c r="F28" s="22" t="s">
        <v>23</v>
      </c>
      <c r="G28" s="22" t="s">
        <v>201</v>
      </c>
      <c r="H28" s="22" t="s">
        <v>201</v>
      </c>
      <c r="I28" s="23">
        <v>1170000</v>
      </c>
      <c r="J28" s="22">
        <v>3.5</v>
      </c>
      <c r="K28" s="23">
        <v>4095000</v>
      </c>
      <c r="L28" s="22" t="str">
        <f ca="1">IFERROR(__xludf.DUMMYFUNCTION("vlookup(A20,importrange(""https://docs.google.com/spreadsheets/d/1prlmS4FuM2U4ekyqLwZXLQkkR81TIQ7JPXPcomUjCYg/edit#gid=1822721348"",""Data!B2:E14575""),3,0)"),"079302007643")</f>
        <v>079302007643</v>
      </c>
      <c r="M28" s="22" t="str">
        <f ca="1">IFERROR(__xludf.DUMMYFUNCTION("vlookup(A20,importrange(""https://docs.google.com/spreadsheets/d/1prlmS4FuM2U4ekyqLwZXLQkkR81TIQ7JPXPcomUjCYg/edit#gid=1822721348"",""Data!B2:E14575""),4,0)"),"6380220076429")</f>
        <v>6380220076429</v>
      </c>
      <c r="N28" s="22" t="str">
        <f ca="1">IFERROR(__xludf.DUMMYFUNCTION("vlookup(A20,importrange(""https://docs.google.com/spreadsheets/d/1prlmS4FuM2U4ekyqLwZXLQkkR81TIQ7JPXPcomUjCYg/edit#gid=1822721348"",""Data!B2:14575""),5,0)"),"Agribank - Bình Thạnh")</f>
        <v>Agribank - Bình Thạnh</v>
      </c>
    </row>
    <row r="29" spans="1:14" ht="15.75" customHeight="1" x14ac:dyDescent="0.2">
      <c r="A29" s="29">
        <v>21</v>
      </c>
      <c r="B29" s="21" t="s">
        <v>251</v>
      </c>
      <c r="C29" s="24" t="s">
        <v>252</v>
      </c>
      <c r="D29" s="25" t="s">
        <v>253</v>
      </c>
      <c r="E29" s="22">
        <v>7.88</v>
      </c>
      <c r="F29" s="22" t="s">
        <v>241</v>
      </c>
      <c r="G29" s="22" t="s">
        <v>9</v>
      </c>
      <c r="H29" s="22" t="s">
        <v>201</v>
      </c>
      <c r="I29" s="23">
        <v>1170000</v>
      </c>
      <c r="J29" s="22">
        <v>3.5</v>
      </c>
      <c r="K29" s="23">
        <v>4095000</v>
      </c>
      <c r="L29" s="22" t="str">
        <f ca="1">IFERROR(__xludf.DUMMYFUNCTION("vlookup(A21,importrange(""https://docs.google.com/spreadsheets/d/1prlmS4FuM2U4ekyqLwZXLQkkR81TIQ7JPXPcomUjCYg/edit#gid=1822721348"",""Data!B2:E14575""),3,0)"),"079202011258")</f>
        <v>079202011258</v>
      </c>
      <c r="M29" s="22" t="str">
        <f ca="1">IFERROR(__xludf.DUMMYFUNCTION("vlookup(A21,importrange(""https://docs.google.com/spreadsheets/d/1prlmS4FuM2U4ekyqLwZXLQkkR81TIQ7JPXPcomUjCYg/edit#gid=1822721348"",""Data!B2:E14575""),4,0)"),"6380220065416")</f>
        <v>6380220065416</v>
      </c>
      <c r="N29" s="22" t="str">
        <f ca="1">IFERROR(__xludf.DUMMYFUNCTION("vlookup(A21,importrange(""https://docs.google.com/spreadsheets/d/1prlmS4FuM2U4ekyqLwZXLQkkR81TIQ7JPXPcomUjCYg/edit#gid=1822721348"",""Data!B2:14575""),5,0)"),"Agribank - Bình Thạnh")</f>
        <v>Agribank - Bình Thạnh</v>
      </c>
    </row>
    <row r="30" spans="1:14" ht="15.75" customHeight="1" x14ac:dyDescent="0.2">
      <c r="A30" s="29">
        <v>22</v>
      </c>
      <c r="B30" s="21" t="s">
        <v>10</v>
      </c>
      <c r="C30" s="24" t="s">
        <v>11</v>
      </c>
      <c r="D30" s="25" t="s">
        <v>12</v>
      </c>
      <c r="E30" s="22">
        <v>9.35</v>
      </c>
      <c r="F30" s="22" t="s">
        <v>9</v>
      </c>
      <c r="G30" s="22" t="s">
        <v>9</v>
      </c>
      <c r="H30" s="22" t="s">
        <v>9</v>
      </c>
      <c r="I30" s="23">
        <v>1390000</v>
      </c>
      <c r="J30" s="22">
        <v>3.5</v>
      </c>
      <c r="K30" s="23">
        <v>4865000</v>
      </c>
      <c r="L30" s="22" t="str">
        <f ca="1">IFERROR(__xludf.DUMMYFUNCTION("vlookup(A3,importrange(""https://docs.google.com/spreadsheets/d/1prlmS4FuM2U4ekyqLwZXLQkkR81TIQ7JPXPcomUjCYg/edit#gid=1822721348"",""Data!B2:E14575""),3,0)"),"079202019175")</f>
        <v>079202019175</v>
      </c>
      <c r="M30" s="22" t="str">
        <f ca="1">IFERROR(__xludf.DUMMYFUNCTION("vlookup(A3,importrange(""https://docs.google.com/spreadsheets/d/1prlmS4FuM2U4ekyqLwZXLQkkR81TIQ7JPXPcomUjCYg/edit#gid=1822721348"",""Data!B2:E14575""),4,0)"),"6380220064929")</f>
        <v>6380220064929</v>
      </c>
      <c r="N30" s="22" t="str">
        <f ca="1">IFERROR(__xludf.DUMMYFUNCTION("vlookup(A3,importrange(""https://docs.google.com/spreadsheets/d/1prlmS4FuM2U4ekyqLwZXLQkkR81TIQ7JPXPcomUjCYg/edit#gid=1822721348"",""Data!B2:14575""),5,0)"),"Agribank - Bình Thạnh")</f>
        <v>Agribank - Bình Thạnh</v>
      </c>
    </row>
  </sheetData>
  <sortState ref="B2:Q23">
    <sortCondition ref="B2:B23"/>
    <sortCondition descending="1" ref="E2:E23"/>
  </sortState>
  <mergeCells count="6">
    <mergeCell ref="B1:G1"/>
    <mergeCell ref="I1:N1"/>
    <mergeCell ref="B2:G2"/>
    <mergeCell ref="I2:N2"/>
    <mergeCell ref="A4:N4"/>
    <mergeCell ref="A5:N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15"/>
  <sheetViews>
    <sheetView workbookViewId="0">
      <selection activeCell="N25" sqref="N25"/>
    </sheetView>
  </sheetViews>
  <sheetFormatPr defaultColWidth="14.42578125" defaultRowHeight="15.75" customHeight="1" x14ac:dyDescent="0.2"/>
  <cols>
    <col min="1" max="1" width="5.42578125" bestFit="1" customWidth="1"/>
    <col min="2" max="2" width="13.42578125" customWidth="1"/>
    <col min="3" max="3" width="20.7109375" customWidth="1"/>
    <col min="4" max="4" width="9.7109375" customWidth="1"/>
    <col min="5" max="5" width="11.85546875" customWidth="1"/>
    <col min="6" max="6" width="11.7109375" customWidth="1"/>
    <col min="7" max="7" width="14" customWidth="1"/>
    <col min="8" max="8" width="11.28515625" customWidth="1"/>
    <col min="9" max="9" width="16.28515625" bestFit="1" customWidth="1"/>
    <col min="10" max="10" width="10.42578125" customWidth="1"/>
    <col min="11" max="11" width="16.42578125" customWidth="1"/>
    <col min="12" max="12" width="21" customWidth="1"/>
    <col min="13" max="13" width="19.5703125" customWidth="1"/>
    <col min="14" max="14" width="25.140625" customWidth="1"/>
  </cols>
  <sheetData>
    <row r="1" spans="1:14" s="1" customFormat="1" ht="26.25" customHeight="1" x14ac:dyDescent="0.3">
      <c r="B1" s="2" t="s">
        <v>300</v>
      </c>
      <c r="C1" s="2"/>
      <c r="D1" s="2"/>
      <c r="E1" s="2"/>
      <c r="F1" s="3"/>
      <c r="G1" s="3"/>
      <c r="H1" s="4"/>
      <c r="I1" s="2" t="s">
        <v>301</v>
      </c>
      <c r="J1" s="2"/>
      <c r="K1" s="2"/>
      <c r="L1" s="2"/>
      <c r="M1" s="2"/>
      <c r="N1" s="5"/>
    </row>
    <row r="2" spans="1:14" s="1" customFormat="1" ht="26.25" customHeight="1" x14ac:dyDescent="0.3">
      <c r="B2" s="6" t="s">
        <v>302</v>
      </c>
      <c r="C2" s="6"/>
      <c r="D2" s="6"/>
      <c r="E2" s="6"/>
      <c r="F2" s="5"/>
      <c r="G2" s="5"/>
      <c r="H2" s="4"/>
      <c r="I2" s="7" t="s">
        <v>303</v>
      </c>
      <c r="J2" s="7"/>
      <c r="K2" s="7"/>
      <c r="L2" s="7"/>
      <c r="M2" s="7"/>
      <c r="N2" s="5"/>
    </row>
    <row r="3" spans="1:14" s="1" customFormat="1" x14ac:dyDescent="0.25">
      <c r="C3" s="8"/>
      <c r="D3" s="8"/>
      <c r="E3" s="8"/>
      <c r="F3" s="8"/>
      <c r="M3" s="9"/>
    </row>
    <row r="4" spans="1:14" s="1" customFormat="1" ht="26.25" customHeight="1" x14ac:dyDescent="0.25">
      <c r="A4" s="10" t="s">
        <v>412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5"/>
    </row>
    <row r="5" spans="1:14" s="1" customFormat="1" ht="21.75" x14ac:dyDescent="0.25">
      <c r="A5" s="10" t="s">
        <v>414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3"/>
    </row>
    <row r="6" spans="1:14" s="1" customFormat="1" ht="21.75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4" ht="12.75" x14ac:dyDescent="0.2">
      <c r="D7" s="12"/>
      <c r="E7" s="12"/>
    </row>
    <row r="8" spans="1:14" ht="64.5" customHeight="1" x14ac:dyDescent="0.2">
      <c r="A8" s="13" t="s">
        <v>305</v>
      </c>
      <c r="B8" s="14" t="s">
        <v>299</v>
      </c>
      <c r="C8" s="14" t="s">
        <v>306</v>
      </c>
      <c r="D8" s="13" t="s">
        <v>307</v>
      </c>
      <c r="E8" s="15" t="s">
        <v>308</v>
      </c>
      <c r="F8" s="15" t="s">
        <v>309</v>
      </c>
      <c r="G8" s="15" t="s">
        <v>310</v>
      </c>
      <c r="H8" s="15" t="s">
        <v>0</v>
      </c>
      <c r="I8" s="16" t="s">
        <v>1</v>
      </c>
      <c r="J8" s="15" t="s">
        <v>2</v>
      </c>
      <c r="K8" s="16" t="s">
        <v>3</v>
      </c>
      <c r="L8" s="13" t="s">
        <v>4</v>
      </c>
      <c r="M8" s="13" t="s">
        <v>5</v>
      </c>
      <c r="N8" s="13" t="s">
        <v>311</v>
      </c>
    </row>
    <row r="9" spans="1:14" ht="15.75" customHeight="1" x14ac:dyDescent="0.2">
      <c r="A9" s="29">
        <v>1</v>
      </c>
      <c r="B9" s="21" t="s">
        <v>179</v>
      </c>
      <c r="C9" s="24" t="s">
        <v>180</v>
      </c>
      <c r="D9" s="25" t="s">
        <v>181</v>
      </c>
      <c r="E9" s="22">
        <v>8.0399999999999991</v>
      </c>
      <c r="F9" s="22" t="s">
        <v>23</v>
      </c>
      <c r="G9" s="22" t="s">
        <v>9</v>
      </c>
      <c r="H9" s="22" t="s">
        <v>23</v>
      </c>
      <c r="I9" s="23">
        <v>1280000</v>
      </c>
      <c r="J9" s="22">
        <v>3.5</v>
      </c>
      <c r="K9" s="23">
        <v>4480000</v>
      </c>
      <c r="L9" s="22" t="s">
        <v>415</v>
      </c>
      <c r="M9" s="22" t="s">
        <v>416</v>
      </c>
      <c r="N9" s="22" t="s">
        <v>316</v>
      </c>
    </row>
    <row r="10" spans="1:14" ht="15.75" customHeight="1" x14ac:dyDescent="0.2">
      <c r="A10" s="29">
        <v>2</v>
      </c>
      <c r="B10" s="21" t="s">
        <v>154</v>
      </c>
      <c r="C10" s="24" t="s">
        <v>155</v>
      </c>
      <c r="D10" s="25" t="s">
        <v>156</v>
      </c>
      <c r="E10" s="22">
        <v>8.15</v>
      </c>
      <c r="F10" s="22" t="s">
        <v>23</v>
      </c>
      <c r="G10" s="22" t="s">
        <v>22</v>
      </c>
      <c r="H10" s="22" t="s">
        <v>23</v>
      </c>
      <c r="I10" s="23">
        <v>1280000</v>
      </c>
      <c r="J10" s="22">
        <v>3.5</v>
      </c>
      <c r="K10" s="23">
        <v>4480000</v>
      </c>
      <c r="L10" s="22"/>
      <c r="M10" s="22"/>
      <c r="N10" s="22"/>
    </row>
    <row r="11" spans="1:14" ht="15.75" customHeight="1" x14ac:dyDescent="0.2">
      <c r="A11" s="29">
        <v>3</v>
      </c>
      <c r="B11" s="21" t="s">
        <v>131</v>
      </c>
      <c r="C11" s="24" t="s">
        <v>132</v>
      </c>
      <c r="D11" s="25" t="s">
        <v>13</v>
      </c>
      <c r="E11" s="22">
        <v>8.31</v>
      </c>
      <c r="F11" s="22" t="s">
        <v>23</v>
      </c>
      <c r="G11" s="22" t="s">
        <v>22</v>
      </c>
      <c r="H11" s="22" t="s">
        <v>23</v>
      </c>
      <c r="I11" s="23">
        <v>1280000</v>
      </c>
      <c r="J11" s="22">
        <v>3.5</v>
      </c>
      <c r="K11" s="23">
        <v>4480000</v>
      </c>
      <c r="L11" s="22" t="s">
        <v>417</v>
      </c>
      <c r="M11" s="22" t="s">
        <v>418</v>
      </c>
      <c r="N11" s="22" t="s">
        <v>316</v>
      </c>
    </row>
    <row r="12" spans="1:14" ht="15.75" customHeight="1" x14ac:dyDescent="0.2">
      <c r="A12" s="29">
        <v>4</v>
      </c>
      <c r="B12" s="21" t="s">
        <v>164</v>
      </c>
      <c r="C12" s="24" t="s">
        <v>83</v>
      </c>
      <c r="D12" s="25" t="s">
        <v>165</v>
      </c>
      <c r="E12" s="22">
        <v>8.1199999999999992</v>
      </c>
      <c r="F12" s="22" t="s">
        <v>23</v>
      </c>
      <c r="G12" s="22" t="s">
        <v>22</v>
      </c>
      <c r="H12" s="22" t="s">
        <v>23</v>
      </c>
      <c r="I12" s="23">
        <v>1280000</v>
      </c>
      <c r="J12" s="22">
        <v>3.5</v>
      </c>
      <c r="K12" s="23">
        <v>4480000</v>
      </c>
      <c r="L12" s="22" t="s">
        <v>419</v>
      </c>
      <c r="M12" s="22" t="s">
        <v>420</v>
      </c>
      <c r="N12" s="22" t="s">
        <v>316</v>
      </c>
    </row>
    <row r="13" spans="1:14" ht="15.75" customHeight="1" x14ac:dyDescent="0.2">
      <c r="A13" s="29">
        <v>5</v>
      </c>
      <c r="B13" s="21" t="s">
        <v>239</v>
      </c>
      <c r="C13" s="24" t="s">
        <v>150</v>
      </c>
      <c r="D13" s="25" t="s">
        <v>37</v>
      </c>
      <c r="E13" s="22">
        <v>8</v>
      </c>
      <c r="F13" s="22" t="s">
        <v>23</v>
      </c>
      <c r="G13" s="22" t="s">
        <v>201</v>
      </c>
      <c r="H13" s="22" t="s">
        <v>201</v>
      </c>
      <c r="I13" s="23">
        <v>1170000</v>
      </c>
      <c r="J13" s="22">
        <v>3.5</v>
      </c>
      <c r="K13" s="23">
        <v>4095000</v>
      </c>
      <c r="L13" s="22"/>
      <c r="M13" s="22"/>
      <c r="N13" s="22"/>
    </row>
    <row r="14" spans="1:14" ht="15.75" customHeight="1" x14ac:dyDescent="0.2">
      <c r="A14" s="29">
        <v>6</v>
      </c>
      <c r="B14" s="21" t="s">
        <v>139</v>
      </c>
      <c r="C14" s="24" t="s">
        <v>140</v>
      </c>
      <c r="D14" s="25" t="s">
        <v>141</v>
      </c>
      <c r="E14" s="22">
        <v>8.23</v>
      </c>
      <c r="F14" s="22" t="s">
        <v>23</v>
      </c>
      <c r="G14" s="22" t="s">
        <v>22</v>
      </c>
      <c r="H14" s="22" t="s">
        <v>23</v>
      </c>
      <c r="I14" s="23">
        <v>1280000</v>
      </c>
      <c r="J14" s="22">
        <v>3.5</v>
      </c>
      <c r="K14" s="23">
        <v>4480000</v>
      </c>
      <c r="L14" s="22" t="s">
        <v>421</v>
      </c>
      <c r="M14" s="22" t="s">
        <v>422</v>
      </c>
      <c r="N14" s="22" t="s">
        <v>316</v>
      </c>
    </row>
    <row r="15" spans="1:14" ht="15.75" customHeight="1" x14ac:dyDescent="0.2">
      <c r="A15" s="29">
        <v>7</v>
      </c>
      <c r="B15" s="21" t="s">
        <v>182</v>
      </c>
      <c r="C15" s="24" t="s">
        <v>183</v>
      </c>
      <c r="D15" s="25" t="s">
        <v>184</v>
      </c>
      <c r="E15" s="22">
        <v>8.0399999999999991</v>
      </c>
      <c r="F15" s="22" t="s">
        <v>23</v>
      </c>
      <c r="G15" s="22" t="s">
        <v>9</v>
      </c>
      <c r="H15" s="22" t="s">
        <v>23</v>
      </c>
      <c r="I15" s="23">
        <v>1280000</v>
      </c>
      <c r="J15" s="22">
        <v>3.5</v>
      </c>
      <c r="K15" s="23">
        <v>4480000</v>
      </c>
      <c r="L15" s="22"/>
      <c r="M15" s="22"/>
      <c r="N15" s="22"/>
    </row>
  </sheetData>
  <sortState ref="B2:Q8">
    <sortCondition ref="B2:B8"/>
    <sortCondition descending="1" ref="E2:E8"/>
  </sortState>
  <mergeCells count="6">
    <mergeCell ref="B1:G1"/>
    <mergeCell ref="I1:N1"/>
    <mergeCell ref="B2:G2"/>
    <mergeCell ref="I2:N2"/>
    <mergeCell ref="A4:N4"/>
    <mergeCell ref="A5:N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23"/>
  <sheetViews>
    <sheetView tabSelected="1" workbookViewId="0">
      <selection activeCell="J21" sqref="J21"/>
    </sheetView>
  </sheetViews>
  <sheetFormatPr defaultColWidth="14.42578125" defaultRowHeight="15.75" customHeight="1" x14ac:dyDescent="0.2"/>
  <cols>
    <col min="1" max="1" width="5.42578125" bestFit="1" customWidth="1"/>
    <col min="3" max="3" width="28.140625" customWidth="1"/>
    <col min="4" max="4" width="10" customWidth="1"/>
    <col min="5" max="5" width="11.85546875" customWidth="1"/>
    <col min="6" max="6" width="11.28515625" customWidth="1"/>
    <col min="7" max="7" width="12.7109375" customWidth="1"/>
    <col min="8" max="8" width="11.28515625" customWidth="1"/>
    <col min="9" max="9" width="17.42578125" customWidth="1"/>
    <col min="10" max="10" width="10.140625" customWidth="1"/>
    <col min="11" max="11" width="13.42578125" bestFit="1" customWidth="1"/>
    <col min="12" max="12" width="21.5703125" customWidth="1"/>
    <col min="13" max="13" width="27.7109375" customWidth="1"/>
    <col min="14" max="14" width="32.85546875" customWidth="1"/>
  </cols>
  <sheetData>
    <row r="1" spans="1:14" s="1" customFormat="1" ht="26.25" customHeight="1" x14ac:dyDescent="0.3">
      <c r="B1" s="2" t="s">
        <v>300</v>
      </c>
      <c r="C1" s="2"/>
      <c r="D1" s="2"/>
      <c r="E1" s="2"/>
      <c r="F1" s="3"/>
      <c r="G1" s="3"/>
      <c r="H1" s="4"/>
      <c r="I1" s="2" t="s">
        <v>301</v>
      </c>
      <c r="J1" s="2"/>
      <c r="K1" s="2"/>
      <c r="L1" s="2"/>
      <c r="M1" s="2"/>
      <c r="N1" s="5"/>
    </row>
    <row r="2" spans="1:14" s="1" customFormat="1" ht="26.25" customHeight="1" x14ac:dyDescent="0.3">
      <c r="B2" s="6" t="s">
        <v>302</v>
      </c>
      <c r="C2" s="6"/>
      <c r="D2" s="6"/>
      <c r="E2" s="6"/>
      <c r="F2" s="5"/>
      <c r="G2" s="5"/>
      <c r="H2" s="4"/>
      <c r="I2" s="7" t="s">
        <v>303</v>
      </c>
      <c r="J2" s="7"/>
      <c r="K2" s="7"/>
      <c r="L2" s="7"/>
      <c r="M2" s="7"/>
      <c r="N2" s="5"/>
    </row>
    <row r="3" spans="1:14" s="1" customFormat="1" x14ac:dyDescent="0.25">
      <c r="C3" s="8"/>
      <c r="D3" s="8"/>
      <c r="E3" s="8"/>
      <c r="F3" s="8"/>
      <c r="M3" s="9"/>
    </row>
    <row r="4" spans="1:14" s="1" customFormat="1" ht="26.25" customHeight="1" x14ac:dyDescent="0.25">
      <c r="A4" s="10" t="s">
        <v>412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5"/>
    </row>
    <row r="5" spans="1:14" s="1" customFormat="1" ht="21.75" x14ac:dyDescent="0.25">
      <c r="A5" s="10" t="s">
        <v>413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3"/>
    </row>
    <row r="6" spans="1:14" s="1" customFormat="1" ht="21.75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4" ht="12.75" x14ac:dyDescent="0.2">
      <c r="D7" s="12"/>
      <c r="E7" s="12"/>
    </row>
    <row r="8" spans="1:14" ht="64.5" customHeight="1" x14ac:dyDescent="0.2">
      <c r="A8" s="13" t="s">
        <v>305</v>
      </c>
      <c r="B8" s="14" t="s">
        <v>299</v>
      </c>
      <c r="C8" s="14" t="s">
        <v>306</v>
      </c>
      <c r="D8" s="13" t="s">
        <v>307</v>
      </c>
      <c r="E8" s="15" t="s">
        <v>308</v>
      </c>
      <c r="F8" s="15" t="s">
        <v>309</v>
      </c>
      <c r="G8" s="15" t="s">
        <v>310</v>
      </c>
      <c r="H8" s="15" t="s">
        <v>0</v>
      </c>
      <c r="I8" s="16" t="s">
        <v>1</v>
      </c>
      <c r="J8" s="15" t="s">
        <v>2</v>
      </c>
      <c r="K8" s="16" t="s">
        <v>3</v>
      </c>
      <c r="L8" s="13" t="s">
        <v>4</v>
      </c>
      <c r="M8" s="13" t="s">
        <v>5</v>
      </c>
      <c r="N8" s="13" t="s">
        <v>311</v>
      </c>
    </row>
    <row r="9" spans="1:14" ht="15.75" customHeight="1" x14ac:dyDescent="0.2">
      <c r="A9" s="29">
        <v>1</v>
      </c>
      <c r="B9" s="21" t="s">
        <v>233</v>
      </c>
      <c r="C9" s="24" t="s">
        <v>234</v>
      </c>
      <c r="D9" s="25" t="s">
        <v>127</v>
      </c>
      <c r="E9" s="22">
        <v>8.0500000000000007</v>
      </c>
      <c r="F9" s="22" t="s">
        <v>23</v>
      </c>
      <c r="G9" s="22" t="s">
        <v>201</v>
      </c>
      <c r="H9" s="22" t="s">
        <v>201</v>
      </c>
      <c r="I9" s="23">
        <v>1170000</v>
      </c>
      <c r="J9" s="22">
        <v>3.5</v>
      </c>
      <c r="K9" s="23">
        <v>4095000</v>
      </c>
      <c r="L9" s="22" t="str">
        <f ca="1">IFERROR(__xludf.DUMMYFUNCTION("vlookup(A15,importrange(""https://docs.google.com/spreadsheets/d/1prlmS4FuM2U4ekyqLwZXLQkkR81TIQ7JPXPcomUjCYg/edit#gid=1822721348"",""Data!B2:E14575""),3,0)"),"025821939")</f>
        <v>025821939</v>
      </c>
      <c r="M9" s="22" t="str">
        <f ca="1">IFERROR(__xludf.DUMMYFUNCTION("vlookup(A15,importrange(""https://docs.google.com/spreadsheets/d/1prlmS4FuM2U4ekyqLwZXLQkkR81TIQ7JPXPcomUjCYg/edit#gid=1822721348"",""Data!B2:E14575""),4,0)"),"6380205515589")</f>
        <v>6380205515589</v>
      </c>
      <c r="N9" s="22" t="str">
        <f ca="1">IFERROR(__xludf.DUMMYFUNCTION("vlookup(A15,importrange(""https://docs.google.com/spreadsheets/d/1prlmS4FuM2U4ekyqLwZXLQkkR81TIQ7JPXPcomUjCYg/edit#gid=1822721348"",""Data!B2:14575""),5,0)"),"Agribank - Bình Thạnh")</f>
        <v>Agribank - Bình Thạnh</v>
      </c>
    </row>
    <row r="10" spans="1:14" ht="15.75" customHeight="1" x14ac:dyDescent="0.2">
      <c r="A10" s="29">
        <v>2</v>
      </c>
      <c r="B10" s="21" t="s">
        <v>267</v>
      </c>
      <c r="C10" s="24" t="s">
        <v>268</v>
      </c>
      <c r="D10" s="25" t="s">
        <v>240</v>
      </c>
      <c r="E10" s="22">
        <v>7.71</v>
      </c>
      <c r="F10" s="22" t="s">
        <v>241</v>
      </c>
      <c r="G10" s="22" t="s">
        <v>201</v>
      </c>
      <c r="H10" s="22" t="s">
        <v>201</v>
      </c>
      <c r="I10" s="23">
        <v>1170000</v>
      </c>
      <c r="J10" s="22">
        <v>3.5</v>
      </c>
      <c r="K10" s="23">
        <v>4095000</v>
      </c>
      <c r="L10" s="22" t="str">
        <f ca="1">IFERROR(__xludf.DUMMYFUNCTION("vlookup(A16,importrange(""https://docs.google.com/spreadsheets/d/1prlmS4FuM2U4ekyqLwZXLQkkR81TIQ7JPXPcomUjCYg/edit#gid=1822721348"",""Data!B2:E14575""),3,0)"),"201777459")</f>
        <v>201777459</v>
      </c>
      <c r="M10" s="22" t="str">
        <f ca="1">IFERROR(__xludf.DUMMYFUNCTION("vlookup(A16,importrange(""https://docs.google.com/spreadsheets/d/1prlmS4FuM2U4ekyqLwZXLQkkR81TIQ7JPXPcomUjCYg/edit#gid=1822721348"",""Data!B2:E14575""),4,0)"),"6380205518150")</f>
        <v>6380205518150</v>
      </c>
      <c r="N10" s="22" t="str">
        <f ca="1">IFERROR(__xludf.DUMMYFUNCTION("vlookup(A16,importrange(""https://docs.google.com/spreadsheets/d/1prlmS4FuM2U4ekyqLwZXLQkkR81TIQ7JPXPcomUjCYg/edit#gid=1822721348"",""Data!B2:14575""),5,0)"),"Agribank - Bình Thạnh")</f>
        <v>Agribank - Bình Thạnh</v>
      </c>
    </row>
    <row r="11" spans="1:14" ht="15.75" customHeight="1" x14ac:dyDescent="0.2">
      <c r="A11" s="29">
        <v>3</v>
      </c>
      <c r="B11" s="21" t="s">
        <v>185</v>
      </c>
      <c r="C11" s="24" t="s">
        <v>186</v>
      </c>
      <c r="D11" s="25" t="s">
        <v>21</v>
      </c>
      <c r="E11" s="22">
        <v>8</v>
      </c>
      <c r="F11" s="22" t="s">
        <v>23</v>
      </c>
      <c r="G11" s="22" t="s">
        <v>22</v>
      </c>
      <c r="H11" s="22" t="s">
        <v>23</v>
      </c>
      <c r="I11" s="23">
        <v>1280000</v>
      </c>
      <c r="J11" s="22">
        <v>3.5</v>
      </c>
      <c r="K11" s="23">
        <v>4480000</v>
      </c>
      <c r="L11" s="22" t="str">
        <f ca="1">IFERROR(__xludf.DUMMYFUNCTION("vlookup(A10,importrange(""https://docs.google.com/spreadsheets/d/1prlmS4FuM2U4ekyqLwZXLQkkR81TIQ7JPXPcomUjCYg/edit#gid=1822721348"",""Data!B2:E14575""),3,0)"),"089300000074")</f>
        <v>089300000074</v>
      </c>
      <c r="M11" s="22" t="str">
        <f ca="1">IFERROR(__xludf.DUMMYFUNCTION("vlookup(A10,importrange(""https://docs.google.com/spreadsheets/d/1prlmS4FuM2U4ekyqLwZXLQkkR81TIQ7JPXPcomUjCYg/edit#gid=1822721348"",""Data!B2:E14575""),4,0)"),"6380205560770")</f>
        <v>6380205560770</v>
      </c>
      <c r="N11" s="22" t="str">
        <f ca="1">IFERROR(__xludf.DUMMYFUNCTION("vlookup(A10,importrange(""https://docs.google.com/spreadsheets/d/1prlmS4FuM2U4ekyqLwZXLQkkR81TIQ7JPXPcomUjCYg/edit#gid=1822721348"",""Data!B2:14575""),5,0)"),"Agribank - Bình Thạnh")</f>
        <v>Agribank - Bình Thạnh</v>
      </c>
    </row>
    <row r="12" spans="1:14" ht="15.75" customHeight="1" x14ac:dyDescent="0.2">
      <c r="A12" s="29">
        <v>4</v>
      </c>
      <c r="B12" s="21" t="s">
        <v>199</v>
      </c>
      <c r="C12" s="24" t="s">
        <v>200</v>
      </c>
      <c r="D12" s="25" t="s">
        <v>72</v>
      </c>
      <c r="E12" s="22">
        <v>9.25</v>
      </c>
      <c r="F12" s="22" t="s">
        <v>9</v>
      </c>
      <c r="G12" s="22" t="s">
        <v>201</v>
      </c>
      <c r="H12" s="22" t="s">
        <v>201</v>
      </c>
      <c r="I12" s="23">
        <v>1170000</v>
      </c>
      <c r="J12" s="22">
        <v>3.5</v>
      </c>
      <c r="K12" s="23">
        <v>4095000</v>
      </c>
      <c r="L12" s="22" t="str">
        <f ca="1">IFERROR(__xludf.DUMMYFUNCTION("vlookup(A12,importrange(""https://docs.google.com/spreadsheets/d/1prlmS4FuM2U4ekyqLwZXLQkkR81TIQ7JPXPcomUjCYg/edit#gid=1822721348"",""Data!B2:E14575""),3,0)"),"301719711")</f>
        <v>301719711</v>
      </c>
      <c r="M12" s="22" t="str">
        <f ca="1">IFERROR(__xludf.DUMMYFUNCTION("vlookup(A12,importrange(""https://docs.google.com/spreadsheets/d/1prlmS4FuM2U4ekyqLwZXLQkkR81TIQ7JPXPcomUjCYg/edit#gid=1822721348"",""Data!B2:E14575""),4,0)"),"0631000492026")</f>
        <v>0631000492026</v>
      </c>
      <c r="N12" s="22" t="str">
        <f ca="1">IFERROR(__xludf.DUMMYFUNCTION("vlookup(A12,importrange(""https://docs.google.com/spreadsheets/d/1prlmS4FuM2U4ekyqLwZXLQkkR81TIQ7JPXPcomUjCYg/edit#gid=1822721348"",""Data!B2:14575""),5,0)"),"Vietcombank - Long An")</f>
        <v>Vietcombank - Long An</v>
      </c>
    </row>
    <row r="13" spans="1:14" ht="15.75" customHeight="1" x14ac:dyDescent="0.2">
      <c r="A13" s="29">
        <v>5</v>
      </c>
      <c r="B13" s="21" t="s">
        <v>187</v>
      </c>
      <c r="C13" s="24" t="s">
        <v>188</v>
      </c>
      <c r="D13" s="25" t="s">
        <v>189</v>
      </c>
      <c r="E13" s="22">
        <v>8</v>
      </c>
      <c r="F13" s="22" t="s">
        <v>23</v>
      </c>
      <c r="G13" s="22" t="s">
        <v>22</v>
      </c>
      <c r="H13" s="22" t="s">
        <v>23</v>
      </c>
      <c r="I13" s="23">
        <v>1280000</v>
      </c>
      <c r="J13" s="22">
        <v>3.5</v>
      </c>
      <c r="K13" s="23">
        <v>4480000</v>
      </c>
      <c r="L13" s="22" t="str">
        <f ca="1">IFERROR(__xludf.DUMMYFUNCTION("vlookup(A11,importrange(""https://docs.google.com/spreadsheets/d/1prlmS4FuM2U4ekyqLwZXLQkkR81TIQ7JPXPcomUjCYg/edit#gid=1822721348"",""Data!B2:E14575""),3,0)"),"026072341")</f>
        <v>026072341</v>
      </c>
      <c r="M13" s="22" t="str">
        <f ca="1">IFERROR(__xludf.DUMMYFUNCTION("vlookup(A11,importrange(""https://docs.google.com/spreadsheets/d/1prlmS4FuM2U4ekyqLwZXLQkkR81TIQ7JPXPcomUjCYg/edit#gid=1822721348"",""Data!B2:E14575""),4,0)"),"6380205558660")</f>
        <v>6380205558660</v>
      </c>
      <c r="N13" s="22" t="str">
        <f ca="1">IFERROR(__xludf.DUMMYFUNCTION("vlookup(A11,importrange(""https://docs.google.com/spreadsheets/d/1prlmS4FuM2U4ekyqLwZXLQkkR81TIQ7JPXPcomUjCYg/edit#gid=1822721348"",""Data!B2:14575""),5,0)"),"Agribank - Bình Thạnh")</f>
        <v>Agribank - Bình Thạnh</v>
      </c>
    </row>
    <row r="14" spans="1:14" ht="15.75" customHeight="1" x14ac:dyDescent="0.2">
      <c r="A14" s="29">
        <v>6</v>
      </c>
      <c r="B14" s="21" t="s">
        <v>122</v>
      </c>
      <c r="C14" s="24" t="s">
        <v>123</v>
      </c>
      <c r="D14" s="25" t="s">
        <v>124</v>
      </c>
      <c r="E14" s="22">
        <v>8.33</v>
      </c>
      <c r="F14" s="22" t="s">
        <v>23</v>
      </c>
      <c r="G14" s="22" t="s">
        <v>22</v>
      </c>
      <c r="H14" s="22" t="s">
        <v>23</v>
      </c>
      <c r="I14" s="23">
        <v>1280000</v>
      </c>
      <c r="J14" s="22">
        <v>3.5</v>
      </c>
      <c r="K14" s="23">
        <v>4480000</v>
      </c>
      <c r="L14" s="22" t="str">
        <f ca="1">IFERROR(__xludf.DUMMYFUNCTION("vlookup(A8,importrange(""https://docs.google.com/spreadsheets/d/1prlmS4FuM2U4ekyqLwZXLQkkR81TIQ7JPXPcomUjCYg/edit#gid=1822721348"",""Data!B2:E14575""),3,0)"),"026003294")</f>
        <v>026003294</v>
      </c>
      <c r="M14" s="22" t="str">
        <f ca="1">IFERROR(__xludf.DUMMYFUNCTION("vlookup(A8,importrange(""https://docs.google.com/spreadsheets/d/1prlmS4FuM2U4ekyqLwZXLQkkR81TIQ7JPXPcomUjCYg/edit#gid=1822721348"",""Data!B2:E14575""),4,0)"),"6380205562429")</f>
        <v>6380205562429</v>
      </c>
      <c r="N14" s="22" t="str">
        <f ca="1">IFERROR(__xludf.DUMMYFUNCTION("vlookup(A8,importrange(""https://docs.google.com/spreadsheets/d/1prlmS4FuM2U4ekyqLwZXLQkkR81TIQ7JPXPcomUjCYg/edit#gid=1822721348"",""Data!B2:14575""),5,0)"),"Agribank - Bình Thạnh ")</f>
        <v xml:space="preserve">Agribank - Bình Thạnh </v>
      </c>
    </row>
    <row r="15" spans="1:14" ht="15.75" customHeight="1" x14ac:dyDescent="0.2">
      <c r="A15" s="29">
        <v>7</v>
      </c>
      <c r="B15" s="21" t="s">
        <v>125</v>
      </c>
      <c r="C15" s="24" t="s">
        <v>126</v>
      </c>
      <c r="D15" s="25" t="s">
        <v>127</v>
      </c>
      <c r="E15" s="22">
        <v>8.33</v>
      </c>
      <c r="F15" s="22" t="s">
        <v>23</v>
      </c>
      <c r="G15" s="22" t="s">
        <v>22</v>
      </c>
      <c r="H15" s="22" t="s">
        <v>23</v>
      </c>
      <c r="I15" s="23">
        <v>1280000</v>
      </c>
      <c r="J15" s="22">
        <v>3.5</v>
      </c>
      <c r="K15" s="23">
        <v>4480000</v>
      </c>
      <c r="L15" s="22" t="str">
        <f ca="1">IFERROR(__xludf.DUMMYFUNCTION("vlookup(A9,importrange(""https://docs.google.com/spreadsheets/d/1prlmS4FuM2U4ekyqLwZXLQkkR81TIQ7JPXPcomUjCYg/edit#gid=1822721348"",""Data!B2:E14575""),3,0)"),"301701582")</f>
        <v>301701582</v>
      </c>
      <c r="M15" s="22" t="str">
        <f ca="1">IFERROR(__xludf.DUMMYFUNCTION("vlookup(A9,importrange(""https://docs.google.com/spreadsheets/d/1prlmS4FuM2U4ekyqLwZXLQkkR81TIQ7JPXPcomUjCYg/edit#gid=1822721348"",""Data!B2:E14575""),4,0)"),"6380205559499")</f>
        <v>6380205559499</v>
      </c>
      <c r="N15" s="22" t="str">
        <f ca="1">IFERROR(__xludf.DUMMYFUNCTION("vlookup(A9,importrange(""https://docs.google.com/spreadsheets/d/1prlmS4FuM2U4ekyqLwZXLQkkR81TIQ7JPXPcomUjCYg/edit#gid=1822721348"",""Data!B2:14575""),5,0)"),"Agribank - Bình Thạnh")</f>
        <v>Agribank - Bình Thạnh</v>
      </c>
    </row>
    <row r="16" spans="1:14" ht="15.75" customHeight="1" x14ac:dyDescent="0.2">
      <c r="A16" s="29">
        <v>8</v>
      </c>
      <c r="B16" s="21" t="s">
        <v>215</v>
      </c>
      <c r="C16" s="24" t="s">
        <v>216</v>
      </c>
      <c r="D16" s="25" t="s">
        <v>217</v>
      </c>
      <c r="E16" s="22">
        <v>8.67</v>
      </c>
      <c r="F16" s="22" t="s">
        <v>23</v>
      </c>
      <c r="G16" s="22" t="s">
        <v>201</v>
      </c>
      <c r="H16" s="22" t="s">
        <v>201</v>
      </c>
      <c r="I16" s="23">
        <v>1170000</v>
      </c>
      <c r="J16" s="22">
        <v>3.5</v>
      </c>
      <c r="K16" s="23">
        <v>4095000</v>
      </c>
      <c r="L16" s="22" t="str">
        <f ca="1">IFERROR(__xludf.DUMMYFUNCTION("vlookup(A14,importrange(""https://docs.google.com/spreadsheets/d/1prlmS4FuM2U4ekyqLwZXLQkkR81TIQ7JPXPcomUjCYg/edit#gid=1822721348"",""Data!B2:E14575""),3,0)"),"272724309")</f>
        <v>272724309</v>
      </c>
      <c r="M16" s="22" t="str">
        <f ca="1">IFERROR(__xludf.DUMMYFUNCTION("vlookup(A14,importrange(""https://docs.google.com/spreadsheets/d/1prlmS4FuM2U4ekyqLwZXLQkkR81TIQ7JPXPcomUjCYg/edit#gid=1822721348"",""Data!B2:E14575""),4,0)"),"1016037314")</f>
        <v>1016037314</v>
      </c>
      <c r="N16" s="22" t="str">
        <f ca="1">IFERROR(__xludf.DUMMYFUNCTION("vlookup(A14,importrange(""https://docs.google.com/spreadsheets/d/1prlmS4FuM2U4ekyqLwZXLQkkR81TIQ7JPXPcomUjCYg/edit#gid=1822721348"",""Data!B2:14575""),5,0)"),"Vietcombank - Long Khánh")</f>
        <v>Vietcombank - Long Khánh</v>
      </c>
    </row>
    <row r="17" spans="1:14" ht="15.75" customHeight="1" x14ac:dyDescent="0.2">
      <c r="A17" s="29">
        <v>9</v>
      </c>
      <c r="B17" s="21" t="s">
        <v>202</v>
      </c>
      <c r="C17" s="24" t="s">
        <v>203</v>
      </c>
      <c r="D17" s="25" t="s">
        <v>204</v>
      </c>
      <c r="E17" s="22">
        <v>9</v>
      </c>
      <c r="F17" s="22" t="s">
        <v>9</v>
      </c>
      <c r="G17" s="22" t="s">
        <v>201</v>
      </c>
      <c r="H17" s="22" t="s">
        <v>201</v>
      </c>
      <c r="I17" s="23">
        <v>1170000</v>
      </c>
      <c r="J17" s="22">
        <v>3.5</v>
      </c>
      <c r="K17" s="23">
        <v>4095000</v>
      </c>
      <c r="L17" s="22" t="str">
        <f ca="1">IFERROR(__xludf.DUMMYFUNCTION("vlookup(A13,importrange(""https://docs.google.com/spreadsheets/d/1prlmS4FuM2U4ekyqLwZXLQkkR81TIQ7JPXPcomUjCYg/edit#gid=1822721348"",""Data!B2:E14575""),3,0)"),"025966697")</f>
        <v>025966697</v>
      </c>
      <c r="M17" s="22" t="str">
        <f ca="1">IFERROR(__xludf.DUMMYFUNCTION("vlookup(A13,importrange(""https://docs.google.com/spreadsheets/d/1prlmS4FuM2U4ekyqLwZXLQkkR81TIQ7JPXPcomUjCYg/edit#gid=1822721348"",""Data!B2:E14575""),4,0)"),"214094738")</f>
        <v>214094738</v>
      </c>
      <c r="N17" s="22" t="str">
        <f ca="1">IFERROR(__xludf.DUMMYFUNCTION("vlookup(A13,importrange(""https://docs.google.com/spreadsheets/d/1prlmS4FuM2U4ekyqLwZXLQkkR81TIQ7JPXPcomUjCYg/edit#gid=1822721348"",""Data!B2:14575""),5,0)"),"VPBank - Hồ Chí Minh")</f>
        <v>VPBank - Hồ Chí Minh</v>
      </c>
    </row>
    <row r="18" spans="1:14" ht="15.75" customHeight="1" x14ac:dyDescent="0.2">
      <c r="A18" s="29">
        <v>10</v>
      </c>
      <c r="B18" s="21" t="s">
        <v>90</v>
      </c>
      <c r="C18" s="24" t="s">
        <v>91</v>
      </c>
      <c r="D18" s="25" t="s">
        <v>62</v>
      </c>
      <c r="E18" s="22">
        <v>8.56</v>
      </c>
      <c r="F18" s="22" t="s">
        <v>23</v>
      </c>
      <c r="G18" s="22" t="s">
        <v>22</v>
      </c>
      <c r="H18" s="22" t="s">
        <v>23</v>
      </c>
      <c r="I18" s="23">
        <v>1280000</v>
      </c>
      <c r="J18" s="22">
        <v>3.5</v>
      </c>
      <c r="K18" s="23">
        <v>4480000</v>
      </c>
      <c r="L18" s="22" t="str">
        <f ca="1">IFERROR(__xludf.DUMMYFUNCTION("vlookup(A7,importrange(""https://docs.google.com/spreadsheets/d/1prlmS4FuM2U4ekyqLwZXLQkkR81TIQ7JPXPcomUjCYg/edit#gid=1822721348"",""Data!B2:E14575""),3,0)"),"272839720")</f>
        <v>272839720</v>
      </c>
      <c r="M18" s="22" t="str">
        <f ca="1">IFERROR(__xludf.DUMMYFUNCTION("vlookup(A7,importrange(""https://docs.google.com/spreadsheets/d/1prlmS4FuM2U4ekyqLwZXLQkkR81TIQ7JPXPcomUjCYg/edit#gid=1822721348"",""Data!B2:E14575""),4,0)"),"9704050839997066")</f>
        <v>9704050839997066</v>
      </c>
      <c r="N18" s="22" t="str">
        <f ca="1">IFERROR(__xludf.DUMMYFUNCTION("vlookup(A7,importrange(""https://docs.google.com/spreadsheets/d/1prlmS4FuM2U4ekyqLwZXLQkkR81TIQ7JPXPcomUjCYg/edit#gid=1822721348"",""Data!B2:14575""),5,0)"),"Agribank - Bình Thạnh")</f>
        <v>Agribank - Bình Thạnh</v>
      </c>
    </row>
    <row r="19" spans="1:14" ht="15.75" customHeight="1" x14ac:dyDescent="0.2">
      <c r="A19" s="29">
        <v>11</v>
      </c>
      <c r="B19" s="21" t="s">
        <v>73</v>
      </c>
      <c r="C19" s="24" t="s">
        <v>74</v>
      </c>
      <c r="D19" s="25" t="s">
        <v>75</v>
      </c>
      <c r="E19" s="22">
        <v>8.7200000000000006</v>
      </c>
      <c r="F19" s="22" t="s">
        <v>23</v>
      </c>
      <c r="G19" s="22" t="s">
        <v>9</v>
      </c>
      <c r="H19" s="22" t="s">
        <v>23</v>
      </c>
      <c r="I19" s="23">
        <v>1280000</v>
      </c>
      <c r="J19" s="22">
        <v>3.5</v>
      </c>
      <c r="K19" s="23">
        <v>4480000</v>
      </c>
      <c r="L19" s="22" t="str">
        <f ca="1">IFERROR(__xludf.DUMMYFUNCTION("vlookup(A5,importrange(""https://docs.google.com/spreadsheets/d/1prlmS4FuM2U4ekyqLwZXLQkkR81TIQ7JPXPcomUjCYg/edit#gid=1822721348"",""Data!B2:E14575""),3,0)"),"245386240")</f>
        <v>245386240</v>
      </c>
      <c r="M19" s="22" t="str">
        <f ca="1">IFERROR(__xludf.DUMMYFUNCTION("vlookup(A5,importrange(""https://docs.google.com/spreadsheets/d/1prlmS4FuM2U4ekyqLwZXLQkkR81TIQ7JPXPcomUjCYg/edit#gid=1822721348"",""Data!B2:E14575""),4,0)"),"5300 215 062530")</f>
        <v>5300 215 062530</v>
      </c>
      <c r="N19" s="22" t="str">
        <f ca="1">IFERROR(__xludf.DUMMYFUNCTION("vlookup(A5,importrange(""https://docs.google.com/spreadsheets/d/1prlmS4FuM2U4ekyqLwZXLQkkR81TIQ7JPXPcomUjCYg/edit#gid=1822721348"",""Data!B2:14575""),5,0)"),"Agribank - TX Gia Nghĩa")</f>
        <v>Agribank - TX Gia Nghĩa</v>
      </c>
    </row>
    <row r="20" spans="1:14" ht="15.75" customHeight="1" x14ac:dyDescent="0.2">
      <c r="A20" s="29">
        <v>12</v>
      </c>
      <c r="B20" s="21" t="s">
        <v>84</v>
      </c>
      <c r="C20" s="24" t="s">
        <v>85</v>
      </c>
      <c r="D20" s="25" t="s">
        <v>35</v>
      </c>
      <c r="E20" s="22">
        <v>8.61</v>
      </c>
      <c r="F20" s="22" t="s">
        <v>23</v>
      </c>
      <c r="G20" s="22" t="s">
        <v>22</v>
      </c>
      <c r="H20" s="22" t="s">
        <v>23</v>
      </c>
      <c r="I20" s="23">
        <v>1280000</v>
      </c>
      <c r="J20" s="22">
        <v>3.5</v>
      </c>
      <c r="K20" s="23">
        <v>4480000</v>
      </c>
      <c r="L20" s="22" t="str">
        <f ca="1">IFERROR(__xludf.DUMMYFUNCTION("vlookup(A6,importrange(""https://docs.google.com/spreadsheets/d/1prlmS4FuM2U4ekyqLwZXLQkkR81TIQ7JPXPcomUjCYg/edit#gid=1822721348"",""Data!B2:E14575""),3,0)"),"342090212")</f>
        <v>342090212</v>
      </c>
      <c r="M20" s="22" t="str">
        <f ca="1">IFERROR(__xludf.DUMMYFUNCTION("vlookup(A6,importrange(""https://docs.google.com/spreadsheets/d/1prlmS4FuM2U4ekyqLwZXLQkkR81TIQ7JPXPcomUjCYg/edit#gid=1822721348"",""Data!B2:E14575""),4,0)"),"0601000544406")</f>
        <v>0601000544406</v>
      </c>
      <c r="N20" s="22" t="str">
        <f ca="1">IFERROR(__xludf.DUMMYFUNCTION("vlookup(A6,importrange(""https://docs.google.com/spreadsheets/d/1prlmS4FuM2U4ekyqLwZXLQkkR81TIQ7JPXPcomUjCYg/edit#gid=1822721348"",""Data!B2:14575""),5,0)"),"Vietcombank - Đồng Tháp")</f>
        <v>Vietcombank - Đồng Tháp</v>
      </c>
    </row>
    <row r="21" spans="1:14" ht="15.75" customHeight="1" x14ac:dyDescent="0.2">
      <c r="A21" s="29">
        <v>13</v>
      </c>
      <c r="B21" s="21" t="s">
        <v>29</v>
      </c>
      <c r="C21" s="24" t="s">
        <v>30</v>
      </c>
      <c r="D21" s="25" t="s">
        <v>31</v>
      </c>
      <c r="E21" s="22">
        <v>9.17</v>
      </c>
      <c r="F21" s="22" t="s">
        <v>9</v>
      </c>
      <c r="G21" s="22" t="s">
        <v>22</v>
      </c>
      <c r="H21" s="22" t="s">
        <v>23</v>
      </c>
      <c r="I21" s="23">
        <v>1280000</v>
      </c>
      <c r="J21" s="22">
        <v>3.5</v>
      </c>
      <c r="K21" s="23">
        <v>4480000</v>
      </c>
      <c r="L21" s="22" t="str">
        <f ca="1">IFERROR(__xludf.DUMMYFUNCTION("vlookup(A2,importrange(""https://docs.google.com/spreadsheets/d/1prlmS4FuM2U4ekyqLwZXLQkkR81TIQ7JPXPcomUjCYg/edit#gid=1822721348"",""Data!B2:E14575""),3,0)"),"079201013791")</f>
        <v>079201013791</v>
      </c>
      <c r="M21" s="22" t="str">
        <f ca="1">IFERROR(__xludf.DUMMYFUNCTION("vlookup(A2,importrange(""https://docs.google.com/spreadsheets/d/1prlmS4FuM2U4ekyqLwZXLQkkR81TIQ7JPXPcomUjCYg/edit#gid=1822721348"",""Data!B2:E14575""),4,0)"),"1017328146")</f>
        <v>1017328146</v>
      </c>
      <c r="N21" s="22" t="str">
        <f ca="1">IFERROR(__xludf.DUMMYFUNCTION("vlookup(A2,importrange(""https://docs.google.com/spreadsheets/d/1prlmS4FuM2U4ekyqLwZXLQkkR81TIQ7JPXPcomUjCYg/edit#gid=1822721348"",""Data!B2:14575""),5,0)"),"Vietcombank - Hồ Chí Minh")</f>
        <v>Vietcombank - Hồ Chí Minh</v>
      </c>
    </row>
    <row r="22" spans="1:14" ht="15.75" customHeight="1" x14ac:dyDescent="0.2">
      <c r="A22" s="29">
        <v>14</v>
      </c>
      <c r="B22" s="21" t="s">
        <v>45</v>
      </c>
      <c r="C22" s="24" t="s">
        <v>24</v>
      </c>
      <c r="D22" s="25" t="s">
        <v>46</v>
      </c>
      <c r="E22" s="22">
        <v>9</v>
      </c>
      <c r="F22" s="22" t="s">
        <v>9</v>
      </c>
      <c r="G22" s="22" t="s">
        <v>22</v>
      </c>
      <c r="H22" s="22" t="s">
        <v>23</v>
      </c>
      <c r="I22" s="23">
        <v>1280000</v>
      </c>
      <c r="J22" s="22">
        <v>3.5</v>
      </c>
      <c r="K22" s="23">
        <v>4480000</v>
      </c>
      <c r="L22" s="22" t="str">
        <f ca="1">IFERROR(__xludf.DUMMYFUNCTION("vlookup(A4,importrange(""https://docs.google.com/spreadsheets/d/1prlmS4FuM2U4ekyqLwZXLQkkR81TIQ7JPXPcomUjCYg/edit#gid=1822721348"",""Data!B2:E14575""),3,0)"),"281337589")</f>
        <v>281337589</v>
      </c>
      <c r="M22" s="22" t="str">
        <f ca="1">IFERROR(__xludf.DUMMYFUNCTION("vlookup(A4,importrange(""https://docs.google.com/spreadsheets/d/1prlmS4FuM2U4ekyqLwZXLQkkR81TIQ7JPXPcomUjCYg/edit#gid=1822721348"",""Data!B2:E14575""),4,0)"),"6380220044127")</f>
        <v>6380220044127</v>
      </c>
      <c r="N22" s="22" t="str">
        <f ca="1">IFERROR(__xludf.DUMMYFUNCTION("vlookup(A4,importrange(""https://docs.google.com/spreadsheets/d/1prlmS4FuM2U4ekyqLwZXLQkkR81TIQ7JPXPcomUjCYg/edit#gid=1822721348"",""Data!B2:14575""),5,0)"),"Agribank - Bình Thạnh")</f>
        <v>Agribank - Bình Thạnh</v>
      </c>
    </row>
    <row r="23" spans="1:14" ht="15.75" customHeight="1" x14ac:dyDescent="0.2">
      <c r="A23" s="29">
        <v>15</v>
      </c>
      <c r="B23" s="21" t="s">
        <v>32</v>
      </c>
      <c r="C23" s="24" t="s">
        <v>33</v>
      </c>
      <c r="D23" s="25" t="s">
        <v>34</v>
      </c>
      <c r="E23" s="22">
        <v>9.17</v>
      </c>
      <c r="F23" s="22" t="s">
        <v>9</v>
      </c>
      <c r="G23" s="22" t="s">
        <v>22</v>
      </c>
      <c r="H23" s="22" t="s">
        <v>23</v>
      </c>
      <c r="I23" s="23">
        <v>1280000</v>
      </c>
      <c r="J23" s="22">
        <v>3.5</v>
      </c>
      <c r="K23" s="23">
        <v>4480000</v>
      </c>
      <c r="L23" s="22" t="str">
        <f ca="1">IFERROR(__xludf.DUMMYFUNCTION("vlookup(A3,importrange(""https://docs.google.com/spreadsheets/d/1prlmS4FuM2U4ekyqLwZXLQkkR81TIQ7JPXPcomUjCYg/edit#gid=1822721348"",""Data!B2:E14575""),3,0)"),"079201001858")</f>
        <v>079201001858</v>
      </c>
      <c r="M23" s="22" t="str">
        <f ca="1">IFERROR(__xludf.DUMMYFUNCTION("vlookup(A3,importrange(""https://docs.google.com/spreadsheets/d/1prlmS4FuM2U4ekyqLwZXLQkkR81TIQ7JPXPcomUjCYg/edit#gid=1822721348"",""Data!B2:E14575""),4,0)"),"6380220018967")</f>
        <v>6380220018967</v>
      </c>
      <c r="N23" s="22" t="str">
        <f ca="1">IFERROR(__xludf.DUMMYFUNCTION("vlookup(A3,importrange(""https://docs.google.com/spreadsheets/d/1prlmS4FuM2U4ekyqLwZXLQkkR81TIQ7JPXPcomUjCYg/edit#gid=1822721348"",""Data!B2:14575""),5,0)"),"Agribank - Bình Thạnh")</f>
        <v>Agribank - Bình Thạnh</v>
      </c>
    </row>
  </sheetData>
  <sortState ref="B2:Q16">
    <sortCondition ref="B2:B16"/>
    <sortCondition descending="1" ref="E2:E16"/>
  </sortState>
  <mergeCells count="6">
    <mergeCell ref="B1:G1"/>
    <mergeCell ref="I1:N1"/>
    <mergeCell ref="B2:G2"/>
    <mergeCell ref="I2:N2"/>
    <mergeCell ref="A4:N4"/>
    <mergeCell ref="A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K18 CNKT HÓA (HK2-2021)</vt:lpstr>
      <vt:lpstr>K19, 20 CNKT HÓA (HK1_2021)</vt:lpstr>
      <vt:lpstr>CLC HÓA (HK1-2021)</vt:lpstr>
      <vt:lpstr>K20 HÓA VP (HK1-2021)</vt:lpstr>
      <vt:lpstr>K17, 18, 19 HÓA VP (HK2-2021)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2021-08-24T12:26:50Z</dcterms:created>
  <dcterms:modified xsi:type="dcterms:W3CDTF">2021-08-24T12:53:08Z</dcterms:modified>
</cp:coreProperties>
</file>